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X:\Compras\Graci\LICITAÇÃO - FAZER\2021\PAVIMENTAÇÃO TRAVESSAS (Rosalino Rodrigues, São Jõao, Getulio e Osório Vargas  e Eilirio de Gregori)\"/>
    </mc:Choice>
  </mc:AlternateContent>
  <xr:revisionPtr revIDLastSave="0" documentId="13_ncr:1_{400CA8E1-523C-41EF-9FCE-AEEBCCD42605}" xr6:coauthVersionLast="46" xr6:coauthVersionMax="46" xr10:uidLastSave="{00000000-0000-0000-0000-000000000000}"/>
  <bookViews>
    <workbookView xWindow="-120" yWindow="-120" windowWidth="19440" windowHeight="15150" tabRatio="839" xr2:uid="{00000000-000D-0000-FFFF-FFFF00000000}"/>
  </bookViews>
  <sheets>
    <sheet name="ORÇAMENTO GERAL" sheetId="14" r:id="rId1"/>
    <sheet name="Julia" sheetId="15" r:id="rId2"/>
    <sheet name="Rosalino" sheetId="9" r:id="rId3"/>
    <sheet name="Eilirio" sheetId="11" r:id="rId4"/>
    <sheet name="São João_Getúlio" sheetId="10" r:id="rId5"/>
    <sheet name="Osório" sheetId="12" r:id="rId6"/>
    <sheet name="Cronograma" sheetId="16" r:id="rId7"/>
    <sheet name="BDI" sheetId="17" r:id="rId8"/>
  </sheets>
  <definedNames>
    <definedName name="BDI.Opcao" hidden="1">#REF!</definedName>
    <definedName name="BDI.TipoObra" hidden="1">#REF!</definedName>
    <definedName name="DESONERACAO" hidden="1">IF(OR(Import.Desoneracao="DESONERADO",Import.Desoneracao="SIM"),"SIM","NÃO")</definedName>
    <definedName name="Import.Apelido" hidden="1">#REF!</definedName>
    <definedName name="Import.CR" hidden="1">#REF!</definedName>
    <definedName name="Import.DescLote" hidden="1">#REF!</definedName>
    <definedName name="Import.Desoneracao" hidden="1">OFFSET(#REF!,0,-1)</definedName>
    <definedName name="Import.Município" hidden="1">#REF!</definedName>
    <definedName name="Import.Proponente" hidden="1">#REF!</definedName>
    <definedName name="Import.RespOrçamento" hidden="1">#REF!</definedName>
    <definedName name="Import.SICONV" hidden="1">#REF!</definedName>
    <definedName name="ORÇAMENTO.BancoRef" localSheetId="3" hidden="1">#REF!</definedName>
    <definedName name="ORÇAMENTO.BancoRef" localSheetId="1" hidden="1">#REF!</definedName>
    <definedName name="ORÇAMENTO.BancoRef" localSheetId="0" hidden="1">#REF!</definedName>
    <definedName name="ORÇAMENTO.BancoRef" localSheetId="5" hidden="1">#REF!</definedName>
    <definedName name="ORÇAMENTO.BancoRef" localSheetId="2" hidden="1">#REF!</definedName>
    <definedName name="ORÇAMENTO.BancoRef" localSheetId="4" hidden="1">#REF!</definedName>
    <definedName name="ORÇAMENTO.BancoRef" hidden="1">#REF!</definedName>
    <definedName name="REFERENCIA.Descricao" localSheetId="3" hidden="1">IF(ISNUMBER(#REF!),OFFSET(INDIRECT(Eilirio!ORÇAMENTO.BancoRef),#REF!-1,3,1),#REF!)</definedName>
    <definedName name="REFERENCIA.Descricao" localSheetId="1" hidden="1">IF(ISNUMBER(#REF!),OFFSET(INDIRECT(Julia!ORÇAMENTO.BancoRef),#REF!-1,3,1),#REF!)</definedName>
    <definedName name="REFERENCIA.Descricao" localSheetId="0" hidden="1">IF(ISNUMBER(#REF!),OFFSET(INDIRECT('ORÇAMENTO GERAL'!ORÇAMENTO.BancoRef),#REF!-1,3,1),#REF!)</definedName>
    <definedName name="REFERENCIA.Descricao" localSheetId="5" hidden="1">IF(ISNUMBER(#REF!),OFFSET(INDIRECT(Osório!ORÇAMENTO.BancoRef),#REF!-1,3,1),#REF!)</definedName>
    <definedName name="REFERENCIA.Descricao" localSheetId="2" hidden="1">IF(ISNUMBER(#REF!),OFFSET(INDIRECT(Rosalino!ORÇAMENTO.BancoRef),#REF!-1,3,1),#REF!)</definedName>
    <definedName name="REFERENCIA.Descricao" localSheetId="4" hidden="1">IF(ISNUMBER(#REF!),OFFSET(INDIRECT('São João_Getúlio'!ORÇAMENTO.BancoRef),#REF!-1,3,1),#REF!)</definedName>
    <definedName name="REFERENCIA.Descricao" hidden="1">IF(ISNUMBER(#REF!),OFFSET(INDIRECT(ORÇAMENTO.BancoRef),#REF!-1,3,1),#REF!)</definedName>
    <definedName name="REFERENCIA.Unidade" localSheetId="3" hidden="1">IF(ISNUMBER(#REF!),OFFSET(INDIRECT(Eilirio!ORÇAMENTO.BancoRef),#REF!-1,4,1),"-")</definedName>
    <definedName name="REFERENCIA.Unidade" localSheetId="1" hidden="1">IF(ISNUMBER(#REF!),OFFSET(INDIRECT(Julia!ORÇAMENTO.BancoRef),#REF!-1,4,1),"-")</definedName>
    <definedName name="REFERENCIA.Unidade" localSheetId="0" hidden="1">IF(ISNUMBER(#REF!),OFFSET(INDIRECT('ORÇAMENTO GERAL'!ORÇAMENTO.BancoRef),#REF!-1,4,1),"-")</definedName>
    <definedName name="REFERENCIA.Unidade" localSheetId="5" hidden="1">IF(ISNUMBER(#REF!),OFFSET(INDIRECT(Osório!ORÇAMENTO.BancoRef),#REF!-1,4,1),"-")</definedName>
    <definedName name="REFERENCIA.Unidade" localSheetId="2" hidden="1">IF(ISNUMBER(#REF!),OFFSET(INDIRECT(Rosalino!ORÇAMENTO.BancoRef),#REF!-1,4,1),"-")</definedName>
    <definedName name="REFERENCIA.Unidade" localSheetId="4" hidden="1">IF(ISNUMBER(#REF!),OFFSET(INDIRECT('São João_Getúlio'!ORÇAMENTO.BancoRef),#REF!-1,4,1),"-")</definedName>
    <definedName name="REFERENCIA.Unidade" hidden="1">IF(ISNUMBER(#REF!),OFFSET(INDIRECT(ORÇAMENTO.BancoRef),#REF!-1,4,1),"-")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4" l="1"/>
  <c r="F9" i="14"/>
  <c r="E10" i="16"/>
  <c r="D11" i="14"/>
  <c r="D18" i="14"/>
  <c r="D23" i="14"/>
  <c r="D21" i="14"/>
  <c r="D22" i="14"/>
  <c r="F12" i="15"/>
  <c r="L26" i="17"/>
  <c r="G31" i="17"/>
  <c r="D12" i="12"/>
  <c r="D11" i="12"/>
  <c r="D12" i="10"/>
  <c r="D11" i="10"/>
  <c r="D12" i="9"/>
  <c r="D9" i="14"/>
  <c r="N25" i="17" l="1"/>
  <c r="D28" i="17" s="1"/>
  <c r="D11" i="9"/>
  <c r="F23" i="14"/>
  <c r="F22" i="14"/>
  <c r="D20" i="14"/>
  <c r="F20" i="14" s="1"/>
  <c r="D19" i="14"/>
  <c r="F19" i="14" s="1"/>
  <c r="F18" i="14"/>
  <c r="F20" i="15"/>
  <c r="D10" i="15"/>
  <c r="D11" i="15" s="1"/>
  <c r="F11" i="15" s="1"/>
  <c r="F9" i="15"/>
  <c r="F21" i="15"/>
  <c r="F19" i="15"/>
  <c r="F18" i="15"/>
  <c r="F17" i="15"/>
  <c r="F16" i="15"/>
  <c r="D10" i="9"/>
  <c r="C28" i="17" l="1"/>
  <c r="F10" i="15"/>
  <c r="F22" i="15"/>
  <c r="F24" i="15" s="1"/>
  <c r="D20" i="12" l="1"/>
  <c r="D10" i="10" l="1"/>
  <c r="F10" i="10" s="1"/>
  <c r="D10" i="12"/>
  <c r="F10" i="12" s="1"/>
  <c r="F10" i="9"/>
  <c r="D20" i="10" l="1"/>
  <c r="F20" i="10" s="1"/>
  <c r="D20" i="11"/>
  <c r="F21" i="12"/>
  <c r="F20" i="12"/>
  <c r="F19" i="12"/>
  <c r="F18" i="12"/>
  <c r="F17" i="12"/>
  <c r="F9" i="12"/>
  <c r="D9" i="11"/>
  <c r="F21" i="11"/>
  <c r="F19" i="11"/>
  <c r="F18" i="11"/>
  <c r="F17" i="11"/>
  <c r="F21" i="10"/>
  <c r="F19" i="10"/>
  <c r="F18" i="10"/>
  <c r="F17" i="10"/>
  <c r="F9" i="10"/>
  <c r="D11" i="11" l="1"/>
  <c r="D12" i="14" s="1"/>
  <c r="D10" i="14"/>
  <c r="F10" i="14" s="1"/>
  <c r="D12" i="11"/>
  <c r="F12" i="10"/>
  <c r="F12" i="12"/>
  <c r="F20" i="11"/>
  <c r="F22" i="11" s="1"/>
  <c r="F21" i="14"/>
  <c r="F24" i="14" s="1"/>
  <c r="D10" i="11"/>
  <c r="F22" i="12"/>
  <c r="F11" i="12"/>
  <c r="F9" i="11"/>
  <c r="F22" i="10"/>
  <c r="F11" i="11"/>
  <c r="F11" i="10"/>
  <c r="K10" i="16" l="1"/>
  <c r="F10" i="11"/>
  <c r="F11" i="14"/>
  <c r="F13" i="12"/>
  <c r="F24" i="12" s="1"/>
  <c r="F12" i="14"/>
  <c r="F13" i="10"/>
  <c r="F24" i="10" s="1"/>
  <c r="F12" i="11"/>
  <c r="F13" i="11" s="1"/>
  <c r="F24" i="11" s="1"/>
  <c r="F21" i="9"/>
  <c r="F20" i="9"/>
  <c r="F19" i="9"/>
  <c r="F18" i="9"/>
  <c r="F17" i="9"/>
  <c r="D13" i="14"/>
  <c r="F13" i="14" s="1"/>
  <c r="F9" i="9"/>
  <c r="K11" i="16" l="1"/>
  <c r="E9" i="16"/>
  <c r="F22" i="9"/>
  <c r="F12" i="9"/>
  <c r="F11" i="9"/>
  <c r="F26" i="14" l="1"/>
  <c r="F13" i="9"/>
  <c r="F24" i="9" s="1"/>
  <c r="G9" i="16" l="1"/>
  <c r="I9" i="16" s="1"/>
  <c r="E11" i="16"/>
  <c r="F9" i="16" s="1"/>
  <c r="J9" i="16" l="1"/>
  <c r="I11" i="16"/>
  <c r="J11" i="16" s="1"/>
  <c r="F11" i="16"/>
  <c r="F10" i="16"/>
  <c r="L10" i="16"/>
  <c r="L11" i="16"/>
  <c r="G11" i="16"/>
  <c r="H9" i="16"/>
  <c r="H11" i="16" l="1"/>
  <c r="G12" i="16"/>
  <c r="H12" i="16" s="1"/>
  <c r="I12" i="16"/>
  <c r="K12" i="16" l="1"/>
  <c r="L12" i="16" s="1"/>
  <c r="J12" i="16"/>
</calcChain>
</file>

<file path=xl/sharedStrings.xml><?xml version="1.0" encoding="utf-8"?>
<sst xmlns="http://schemas.openxmlformats.org/spreadsheetml/2006/main" count="364" uniqueCount="106">
  <si>
    <t>SINALIZAÇÃO</t>
  </si>
  <si>
    <t>1.1</t>
  </si>
  <si>
    <t>2.1</t>
  </si>
  <si>
    <t>3.1</t>
  </si>
  <si>
    <t>3.2</t>
  </si>
  <si>
    <t>3.3</t>
  </si>
  <si>
    <t>3.4</t>
  </si>
  <si>
    <t>TOTAL</t>
  </si>
  <si>
    <t>m²</t>
  </si>
  <si>
    <t>m2</t>
  </si>
  <si>
    <t>Unid.</t>
  </si>
  <si>
    <t>Quant.</t>
  </si>
  <si>
    <t>Valor Unit.</t>
  </si>
  <si>
    <t>Valor total</t>
  </si>
  <si>
    <t>Item</t>
  </si>
  <si>
    <t>1.2</t>
  </si>
  <si>
    <t>1.3</t>
  </si>
  <si>
    <t>2.2</t>
  </si>
  <si>
    <t>2.3</t>
  </si>
  <si>
    <t>2.4</t>
  </si>
  <si>
    <t>2.5</t>
  </si>
  <si>
    <t>2.6</t>
  </si>
  <si>
    <t>3.5</t>
  </si>
  <si>
    <t>Descrição</t>
  </si>
  <si>
    <t>PAVIMENTAÇÃO ASFÁLTICA</t>
  </si>
  <si>
    <t>Execução de imprimação com asfalto diluído CM-30.</t>
  </si>
  <si>
    <t>Execução de pintura de ligação com emulsão asfáltica RR-2C</t>
  </si>
  <si>
    <t>ton</t>
  </si>
  <si>
    <t>un</t>
  </si>
  <si>
    <t>BDI</t>
  </si>
  <si>
    <t>PREFEITURA MUNICIPAL DE IRANI</t>
  </si>
  <si>
    <t>SECRETARIA DE PLANEJAMENTO E GESTÃO DE PROJETOS - SETOR ENGENHARIA</t>
  </si>
  <si>
    <t>PLANILHA ORÇAMENTÁRIA</t>
  </si>
  <si>
    <t>OBRA - ITENS DA PAVIMENTAÇÃO DA RUA ROSALINO RODRIGUES</t>
  </si>
  <si>
    <t>OBRA - ITENS DA PAVIMENTAÇÃO DA RUA OSÓRIO DE OLIVEIRA VARGAS</t>
  </si>
  <si>
    <t>OBRA - ITENS DA PAVIMENTAÇÃO DAS RUAS SÃO JOÃO E GETÚLIO VARGAS</t>
  </si>
  <si>
    <t>OBRA - ITENS DA PAVIMENTAÇÃO DA RUA EILÍRIO DE GREGORI</t>
  </si>
  <si>
    <t>Execução de pavimento com aplicação de concreto asfáltico, camada de binder - com espessura de 2,0 cm - Aquisição posto obra</t>
  </si>
  <si>
    <t>1.4</t>
  </si>
  <si>
    <t>m3</t>
  </si>
  <si>
    <t>Execução de pavimentação em concreto betuminoso usinado a quente (CBUQ) para pavimentação asfáltica, padrão Dnit, faixa c, com cap 50/70 - espessura de 4 cm, peso específico 2,5 t/m³ - Aquisição posto obra</t>
  </si>
  <si>
    <t>Placa de regulamentação em aço D = 0,60 m - película retrorrefletiva tipo I + SI - fornecimento e implantação. Placa com suporte de aço galvanizado d = 50 mm e altura = 3 m inclusive base de concreto magro (velocidade)</t>
  </si>
  <si>
    <t>Placa de advertência em aço, lado de 0,60 m - película retrorrefletiva tipo I + SI - fornecimento e implantação. Placa com suporte de aço galvanizado d = 50 mm e altura = 3 m, inclusive base de concreto magro (faixa de pedestre)</t>
  </si>
  <si>
    <t>Placa de regulamentação em aço, R1 lado 0,248 m - película retrorrefletiva tipo I + SI - fornecimento e implantação. Placa octogonal l = 25 cm, com suporte de aço galvanizado d = 50 mm e altura = 3 m, inclusive base de concreto magro (pare)</t>
  </si>
  <si>
    <t>Pintura acrílica para sinalização horizontal em piso cimentado (faixa central e laterais)</t>
  </si>
  <si>
    <t>Sinalização horizontal com tinta retro refletiva a base de resina acrílica com microesferas de vidro (faixa de pedestre)</t>
  </si>
  <si>
    <t>Execução de pavimentação em concreto betuminoso usinado a quente (CBUQ) para pavimentação asfáltica, padrão Dnit, faixa c, com cap 50/70 - espessura de 4cm, peso específico 2,5 t/m³ - Aquisição posto obra</t>
  </si>
  <si>
    <t>3.6</t>
  </si>
  <si>
    <t>Pintura acrílica para sinalização horizontal em piso cimentado (faixa central)</t>
  </si>
  <si>
    <t>Pintura acrílica para sinalização horizontal em piso cimentado (faixa central - amarela)</t>
  </si>
  <si>
    <t>Pintura acrílica para sinalização horizontal em piso cimentado (faixa lateral - branca)</t>
  </si>
  <si>
    <t>Pintura acrílica para sinalização horizontal em piso cimentado (faixa lateral)</t>
  </si>
  <si>
    <t>Limpeza de superfície com jato de alta pressão</t>
  </si>
  <si>
    <t>1.5</t>
  </si>
  <si>
    <t>OBRA - ITENS DA PAVIMENTAÇÃO GERAL</t>
  </si>
  <si>
    <t>OBRA - ITENS DA PAVIMENTAÇÃO DA RUA JULIA DA SILVA</t>
  </si>
  <si>
    <t>SECRETARIA DE PLANEJAMENTO E GESTÃO DE PROJETOS - SETOR DE ENGENHARIA</t>
  </si>
  <si>
    <t>OBRA - ITENS DA PAVIMENTAÇÃO DAS RUAS JÚLIA DA SILVA, ROSALINO RODRIGUES, EILÍRIO DE GREGORI, SÃO JOÃO, GETÚLIO VARGAS E OSÓRIO DE OLIVEIRA VARGAS</t>
  </si>
  <si>
    <t>CRONOGRAMA FÍSICO FINANCEIRO - ASFALTAMENTO</t>
  </si>
  <si>
    <t>Base da pavimentação e drenagem pluvial executadas pelo Município de Irani-SC</t>
  </si>
  <si>
    <t>ITEM</t>
  </si>
  <si>
    <t>DESCRIÇÃO</t>
  </si>
  <si>
    <t>%</t>
  </si>
  <si>
    <t>1º mês</t>
  </si>
  <si>
    <t>2º mês</t>
  </si>
  <si>
    <t>3º mês</t>
  </si>
  <si>
    <t>TOTAL R$</t>
  </si>
  <si>
    <t>TOTAL ACUMULADO R$</t>
  </si>
  <si>
    <t>Conforme legislação tributária municipal, definir estimativa de percentual da base de cálculo para o ISS:</t>
  </si>
  <si>
    <t>Sobre a base de cálculo, definir a respectiva alíquota do ISS (entre 2% e 5%):</t>
  </si>
  <si>
    <t>BDI 1</t>
  </si>
  <si>
    <t>TIPO DE OBRA</t>
  </si>
  <si>
    <t>Construção e Reforma de Edifícios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</si>
  <si>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</si>
  <si>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</si>
  <si>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</si>
  <si>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</si>
  <si>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</si>
  <si>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</si>
  <si>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</si>
  <si>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</si>
  <si>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Tributos (impostos COFINS 3%, e  PIS 0,65%)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</si>
  <si>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</si>
  <si>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</si>
  <si>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</si>
  <si>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</si>
  <si>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</si>
  <si>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</si>
  <si>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</si>
  <si>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</si>
  <si>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</si>
  <si>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t>BDI =</t>
  </si>
  <si>
    <t xml:space="preserve"> - 1</t>
  </si>
  <si>
    <t>(1-CP-ISS-CRPB)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</si>
  <si>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</si>
  <si>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</si>
  <si>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</si>
  <si>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</si>
  <si>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</si>
  <si>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</si>
  <si>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</si>
  <si>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</si>
  <si>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</si>
  <si>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 xml:space="preserve">Administração Central  </t>
  </si>
  <si>
    <t>CSP</t>
  </si>
  <si>
    <t>OBRA: PAVIMENTAÇÃO ASFÁLTICA RUA JULIA DA SILVA E TRAVESSAS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</si>
</sst>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_-* #,##0.00_-;\-* #,##0.00_-;_-* \-??_-;_-@_-"/>
    <numFmt numFmtId="167" formatCode="_(&quot;R$ &quot;* #,##0.00_);_(&quot;R$ &quot;* \(#,##0.00\);_(&quot;R$ &quot;* \-??_);_(@_)"/>
    <numFmt numFmtId="168" formatCode="_-&quot;R$&quot;\ * #,##0.0000_-;\-&quot;R$&quot;\ * #,##0.0000_-;_-&quot;R$&quot;\ * &quot;-&quot;??_-;_-@_-"/>
    <numFmt numFmtId="169" formatCode="_-&quot;R$&quot;* #,##0.000_-;\-&quot;R$&quot;* #,##0.000_-;_-&quot;R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166" fontId="3" fillId="0" borderId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/>
    <xf numFmtId="167" fontId="2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0" fillId="0" borderId="0" xfId="0" applyNumberFormat="1"/>
    <xf numFmtId="0" fontId="9" fillId="0" borderId="6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7" fillId="2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 wrapText="1"/>
    </xf>
    <xf numFmtId="0" fontId="0" fillId="0" borderId="1" xfId="0" applyBorder="1"/>
    <xf numFmtId="0" fontId="9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164" fontId="0" fillId="0" borderId="0" xfId="0" applyNumberFormat="1"/>
    <xf numFmtId="4" fontId="6" fillId="0" borderId="6" xfId="0" applyNumberFormat="1" applyFont="1" applyFill="1" applyBorder="1" applyAlignment="1">
      <alignment horizontal="right" vertical="center"/>
    </xf>
    <xf numFmtId="0" fontId="1" fillId="0" borderId="7" xfId="0" applyFont="1" applyBorder="1"/>
    <xf numFmtId="164" fontId="1" fillId="0" borderId="7" xfId="0" applyNumberFormat="1" applyFont="1" applyBorder="1"/>
    <xf numFmtId="165" fontId="9" fillId="0" borderId="6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vertical="center" wrapText="1"/>
    </xf>
    <xf numFmtId="165" fontId="11" fillId="0" borderId="4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1" fillId="0" borderId="7" xfId="0" applyNumberFormat="1" applyFont="1" applyBorder="1"/>
    <xf numFmtId="0" fontId="4" fillId="3" borderId="7" xfId="0" applyFont="1" applyFill="1" applyBorder="1"/>
    <xf numFmtId="4" fontId="12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44" fontId="0" fillId="0" borderId="0" xfId="0" applyNumberFormat="1"/>
    <xf numFmtId="44" fontId="0" fillId="0" borderId="0" xfId="3" applyFont="1"/>
    <xf numFmtId="2" fontId="0" fillId="0" borderId="0" xfId="3" applyNumberFormat="1" applyFont="1"/>
    <xf numFmtId="2" fontId="0" fillId="0" borderId="0" xfId="0" applyNumberFormat="1"/>
    <xf numFmtId="10" fontId="0" fillId="0" borderId="3" xfId="0" applyNumberFormat="1" applyFill="1" applyBorder="1"/>
    <xf numFmtId="0" fontId="1" fillId="4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/>
    <xf numFmtId="165" fontId="0" fillId="0" borderId="7" xfId="4" applyNumberFormat="1" applyFont="1" applyBorder="1" applyAlignment="1"/>
    <xf numFmtId="2" fontId="0" fillId="0" borderId="7" xfId="4" applyNumberFormat="1" applyFont="1" applyFill="1" applyBorder="1" applyAlignment="1" applyProtection="1">
      <alignment horizontal="center" vertical="center" shrinkToFit="1"/>
    </xf>
    <xf numFmtId="165" fontId="0" fillId="0" borderId="7" xfId="4" applyNumberFormat="1" applyFont="1" applyFill="1" applyBorder="1" applyAlignment="1" applyProtection="1">
      <alignment vertical="center" shrinkToFit="1"/>
    </xf>
    <xf numFmtId="0" fontId="14" fillId="3" borderId="7" xfId="0" applyNumberFormat="1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/>
    <xf numFmtId="165" fontId="0" fillId="3" borderId="7" xfId="4" applyNumberFormat="1" applyFont="1" applyFill="1" applyBorder="1" applyAlignment="1"/>
    <xf numFmtId="2" fontId="0" fillId="3" borderId="7" xfId="4" applyNumberFormat="1" applyFont="1" applyFill="1" applyBorder="1" applyAlignment="1" applyProtection="1">
      <alignment horizontal="center" vertical="center" shrinkToFit="1"/>
    </xf>
    <xf numFmtId="165" fontId="0" fillId="3" borderId="7" xfId="4" applyNumberFormat="1" applyFont="1" applyFill="1" applyBorder="1" applyAlignment="1" applyProtection="1">
      <alignment vertical="center" shrinkToFit="1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/>
    <xf numFmtId="165" fontId="0" fillId="3" borderId="7" xfId="0" applyNumberFormat="1" applyFont="1" applyFill="1" applyBorder="1" applyAlignment="1"/>
    <xf numFmtId="0" fontId="15" fillId="0" borderId="0" xfId="1" applyFont="1" applyProtection="1"/>
    <xf numFmtId="0" fontId="16" fillId="0" borderId="0" xfId="1" applyFont="1" applyFill="1" applyBorder="1" applyAlignment="1" applyProtection="1">
      <alignment horizontal="left"/>
    </xf>
    <xf numFmtId="0" fontId="0" fillId="0" borderId="0" xfId="1" applyFont="1" applyProtection="1"/>
    <xf numFmtId="0" fontId="19" fillId="0" borderId="14" xfId="1" applyFont="1" applyBorder="1" applyAlignment="1" applyProtection="1">
      <alignment horizontal="center" vertical="center"/>
    </xf>
    <xf numFmtId="10" fontId="19" fillId="5" borderId="14" xfId="1" applyNumberFormat="1" applyFont="1" applyFill="1" applyBorder="1" applyAlignment="1" applyProtection="1">
      <alignment horizontal="center" vertical="center"/>
      <protection locked="0"/>
    </xf>
    <xf numFmtId="10" fontId="19" fillId="0" borderId="14" xfId="1" applyNumberFormat="1" applyFont="1" applyFill="1" applyBorder="1" applyAlignment="1" applyProtection="1">
      <alignment horizontal="center" vertical="center"/>
    </xf>
    <xf numFmtId="10" fontId="19" fillId="0" borderId="14" xfId="1" applyNumberFormat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7" borderId="14" xfId="1" applyFont="1" applyFill="1" applyBorder="1" applyAlignment="1" applyProtection="1">
      <alignment horizontal="center" vertical="center" wrapText="1"/>
    </xf>
    <xf numFmtId="10" fontId="18" fillId="7" borderId="14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right" vertical="center"/>
    </xf>
    <xf numFmtId="0" fontId="0" fillId="0" borderId="0" xfId="1" applyFont="1" applyBorder="1" applyAlignment="1" applyProtection="1">
      <alignment horizontal="center" vertical="top"/>
    </xf>
    <xf numFmtId="0" fontId="24" fillId="0" borderId="0" xfId="1" applyFont="1" applyBorder="1" applyAlignment="1" applyProtection="1">
      <alignment horizontal="center" vertical="top"/>
    </xf>
    <xf numFmtId="169" fontId="9" fillId="0" borderId="6" xfId="0" applyNumberFormat="1" applyFont="1" applyBorder="1" applyAlignment="1">
      <alignment horizontal="right" vertical="center"/>
    </xf>
    <xf numFmtId="168" fontId="0" fillId="0" borderId="0" xfId="0" applyNumberFormat="1"/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4" fontId="18" fillId="0" borderId="14" xfId="1" applyNumberFormat="1" applyFont="1" applyFill="1" applyBorder="1" applyAlignment="1" applyProtection="1">
      <alignment horizontal="center" vertical="center" wrapText="1"/>
    </xf>
    <xf numFmtId="0" fontId="19" fillId="7" borderId="14" xfId="1" applyFont="1" applyFill="1" applyBorder="1" applyAlignment="1" applyProtection="1">
      <alignment horizontal="center" vertical="center" wrapText="1"/>
    </xf>
    <xf numFmtId="4" fontId="18" fillId="0" borderId="14" xfId="1" applyNumberFormat="1" applyFont="1" applyFill="1" applyBorder="1" applyAlignment="1" applyProtection="1">
      <alignment horizontal="center" vertical="center"/>
    </xf>
    <xf numFmtId="0" fontId="0" fillId="0" borderId="14" xfId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top"/>
    </xf>
    <xf numFmtId="0" fontId="21" fillId="0" borderId="0" xfId="1" applyFont="1" applyBorder="1" applyAlignment="1" applyProtection="1">
      <alignment horizontal="left" vertical="center" indent="1"/>
    </xf>
    <xf numFmtId="0" fontId="0" fillId="0" borderId="0" xfId="1" applyFont="1" applyBorder="1" applyAlignment="1" applyProtection="1">
      <alignment horizontal="center" vertical="center"/>
    </xf>
    <xf numFmtId="0" fontId="15" fillId="0" borderId="7" xfId="5" applyFont="1" applyBorder="1" applyAlignment="1" applyProtection="1">
      <alignment horizontal="left" vertical="top"/>
    </xf>
    <xf numFmtId="0" fontId="15" fillId="0" borderId="14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left" vertical="center" wrapText="1"/>
    </xf>
    <xf numFmtId="10" fontId="16" fillId="5" borderId="14" xfId="1" applyNumberFormat="1" applyFont="1" applyFill="1" applyBorder="1" applyAlignment="1" applyProtection="1">
      <alignment horizontal="center" vertical="center"/>
      <protection locked="0"/>
    </xf>
    <xf numFmtId="0" fontId="15" fillId="0" borderId="13" xfId="5" applyFont="1" applyBorder="1" applyAlignment="1" applyProtection="1">
      <alignment horizontal="left" vertical="top"/>
    </xf>
    <xf numFmtId="0" fontId="17" fillId="0" borderId="14" xfId="1" applyFont="1" applyBorder="1" applyAlignment="1" applyProtection="1">
      <alignment horizontal="center"/>
    </xf>
    <xf numFmtId="0" fontId="16" fillId="0" borderId="14" xfId="1" applyFont="1" applyFill="1" applyBorder="1" applyAlignment="1" applyProtection="1">
      <alignment horizontal="left" vertical="center"/>
    </xf>
    <xf numFmtId="167" fontId="16" fillId="6" borderId="12" xfId="6" applyFont="1" applyFill="1" applyBorder="1" applyAlignment="1" applyProtection="1">
      <alignment horizontal="left"/>
      <protection locked="0"/>
    </xf>
    <xf numFmtId="0" fontId="18" fillId="0" borderId="14" xfId="1" applyFont="1" applyBorder="1" applyAlignment="1" applyProtection="1">
      <alignment horizontal="center" vertical="center"/>
    </xf>
    <xf numFmtId="44" fontId="9" fillId="0" borderId="6" xfId="3" applyNumberFormat="1" applyFont="1" applyBorder="1" applyAlignment="1">
      <alignment horizontal="right" vertical="center"/>
    </xf>
    <xf numFmtId="165" fontId="4" fillId="3" borderId="7" xfId="0" applyNumberFormat="1" applyFont="1" applyFill="1" applyBorder="1"/>
  </cellXfs>
  <cellStyles count="7">
    <cellStyle name="Moeda" xfId="3" builtinId="4"/>
    <cellStyle name="Moeda_Composicao BDI v2.1" xfId="6" xr:uid="{00000000-0005-0000-0000-000001000000}"/>
    <cellStyle name="Normal" xfId="0" builtinId="0"/>
    <cellStyle name="Normal 2" xfId="1" xr:uid="{00000000-0005-0000-0000-000003000000}"/>
    <cellStyle name="Normal_FICHA DE VERIFICAÇÃO PRELIMINAR - Plano R" xfId="5" xr:uid="{00000000-0005-0000-0000-000004000000}"/>
    <cellStyle name="Vírgula" xfId="4" builtinId="3"/>
    <cellStyle name="Vírgula 2" xfId="2" xr:uid="{00000000-0005-0000-0000-000006000000}"/>
  </cellStyles>
  <dxfs count="36">
    <dxf>
      <font>
        <b/>
        <i val="0"/>
        <condense val="0"/>
        <extend val="0"/>
      </font>
    </dxf>
    <dxf>
      <font>
        <b val="0"/>
        <condense val="0"/>
        <extend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</xdr:col>
      <xdr:colOff>704535</xdr:colOff>
      <xdr:row>4</xdr:row>
      <xdr:rowOff>94488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0"/>
          <a:ext cx="828361" cy="8660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32511</xdr:rowOff>
    </xdr:from>
    <xdr:to>
      <xdr:col>3</xdr:col>
      <xdr:colOff>1200151</xdr:colOff>
      <xdr:row>2</xdr:row>
      <xdr:rowOff>610572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13511"/>
          <a:ext cx="1743076" cy="578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23" sqref="G23"/>
    </sheetView>
  </sheetViews>
  <sheetFormatPr defaultRowHeight="15" x14ac:dyDescent="0.25"/>
  <cols>
    <col min="1" max="1" width="5.42578125" bestFit="1" customWidth="1"/>
    <col min="2" max="2" width="85" customWidth="1"/>
    <col min="3" max="3" width="6.140625" bestFit="1" customWidth="1"/>
    <col min="5" max="5" width="11.5703125" bestFit="1" customWidth="1"/>
    <col min="6" max="6" width="18.28515625" bestFit="1" customWidth="1"/>
  </cols>
  <sheetData>
    <row r="1" spans="1:7" x14ac:dyDescent="0.25">
      <c r="B1" s="1" t="s">
        <v>30</v>
      </c>
    </row>
    <row r="2" spans="1:7" x14ac:dyDescent="0.25">
      <c r="B2" s="1" t="s">
        <v>31</v>
      </c>
    </row>
    <row r="3" spans="1:7" x14ac:dyDescent="0.25">
      <c r="B3" s="1" t="s">
        <v>32</v>
      </c>
    </row>
    <row r="4" spans="1:7" ht="15.75" thickBot="1" x14ac:dyDescent="0.3">
      <c r="B4" s="1" t="s">
        <v>54</v>
      </c>
    </row>
    <row r="5" spans="1:7" ht="15" customHeight="1" thickBot="1" x14ac:dyDescent="0.3">
      <c r="E5" s="33" t="s">
        <v>29</v>
      </c>
      <c r="F5" s="53">
        <v>0.26440000000000002</v>
      </c>
    </row>
    <row r="6" spans="1:7" ht="15.75" hidden="1" thickBot="1" x14ac:dyDescent="0.3"/>
    <row r="7" spans="1:7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</row>
    <row r="8" spans="1:7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7" ht="15.75" thickBot="1" x14ac:dyDescent="0.3">
      <c r="A9" s="34" t="s">
        <v>1</v>
      </c>
      <c r="B9" s="8" t="s">
        <v>25</v>
      </c>
      <c r="C9" s="9" t="s">
        <v>9</v>
      </c>
      <c r="D9" s="10">
        <f>Julia!D9</f>
        <v>2923.21</v>
      </c>
      <c r="E9" s="41">
        <v>4.22</v>
      </c>
      <c r="F9" s="113">
        <f>D9*E9</f>
        <v>12335.9462</v>
      </c>
      <c r="G9" s="7"/>
    </row>
    <row r="10" spans="1:7" ht="15.75" thickBot="1" x14ac:dyDescent="0.3">
      <c r="A10" s="34" t="s">
        <v>15</v>
      </c>
      <c r="B10" s="8" t="s">
        <v>52</v>
      </c>
      <c r="C10" s="9" t="s">
        <v>9</v>
      </c>
      <c r="D10" s="10">
        <f>Rosalino!D9+Eilirio!D9+'São João_Getúlio'!D9+Osório!D9</f>
        <v>12460.369999999999</v>
      </c>
      <c r="E10" s="41">
        <v>1.67</v>
      </c>
      <c r="F10" s="41">
        <f>E10*D10</f>
        <v>20808.817899999998</v>
      </c>
      <c r="G10" s="7"/>
    </row>
    <row r="11" spans="1:7" ht="24.75" thickBot="1" x14ac:dyDescent="0.3">
      <c r="A11" s="34" t="s">
        <v>16</v>
      </c>
      <c r="B11" s="8" t="s">
        <v>37</v>
      </c>
      <c r="C11" s="9" t="s">
        <v>39</v>
      </c>
      <c r="D11" s="10">
        <f>Rosalino!D10+Eilirio!D10+'São João_Getúlio'!D10+Osório!D10</f>
        <v>249.20740000000001</v>
      </c>
      <c r="E11" s="41">
        <v>1180.56</v>
      </c>
      <c r="F11" s="41">
        <f>E11*D11</f>
        <v>294204.28814399999</v>
      </c>
      <c r="G11" s="7"/>
    </row>
    <row r="12" spans="1:7" ht="15.75" thickBot="1" x14ac:dyDescent="0.3">
      <c r="A12" s="34" t="s">
        <v>38</v>
      </c>
      <c r="B12" s="8" t="s">
        <v>26</v>
      </c>
      <c r="C12" s="9" t="s">
        <v>9</v>
      </c>
      <c r="D12" s="10">
        <f>Julia!D10+Rosalino!D11+Eilirio!D11+'São João_Getúlio'!D11+Osório!D11</f>
        <v>27843.950000000004</v>
      </c>
      <c r="E12" s="41">
        <v>2.27</v>
      </c>
      <c r="F12" s="81">
        <f t="shared" ref="F12:F13" si="0">E12*D12</f>
        <v>63205.766500000012</v>
      </c>
      <c r="G12" s="7"/>
    </row>
    <row r="13" spans="1:7" ht="36.75" thickBot="1" x14ac:dyDescent="0.3">
      <c r="A13" s="34" t="s">
        <v>53</v>
      </c>
      <c r="B13" s="26" t="s">
        <v>40</v>
      </c>
      <c r="C13" s="9" t="s">
        <v>27</v>
      </c>
      <c r="D13" s="10">
        <f>Julia!D11+Rosalino!D12+Eilirio!D12+'São João_Getúlio'!D12+Osório!D12</f>
        <v>1538.3580000000002</v>
      </c>
      <c r="E13" s="41">
        <v>510</v>
      </c>
      <c r="F13" s="41">
        <f t="shared" si="0"/>
        <v>784562.58000000007</v>
      </c>
      <c r="G13" s="14"/>
    </row>
    <row r="14" spans="1:7" ht="15.75" thickBot="1" x14ac:dyDescent="0.3">
      <c r="A14" s="13"/>
      <c r="B14" s="18" t="s">
        <v>7</v>
      </c>
      <c r="C14" s="35"/>
      <c r="D14" s="27"/>
      <c r="E14" s="42"/>
      <c r="F14" s="43">
        <f>F9+F10+F11+F12+F13</f>
        <v>1175117.3987440001</v>
      </c>
      <c r="G14" s="3"/>
    </row>
    <row r="15" spans="1:7" ht="15.75" thickBot="1" x14ac:dyDescent="0.3">
      <c r="A15" s="2"/>
      <c r="C15" s="2"/>
      <c r="D15" s="25"/>
      <c r="F15" s="82"/>
    </row>
    <row r="16" spans="1:7" ht="16.5" thickBot="1" x14ac:dyDescent="0.3">
      <c r="A16" s="4" t="s">
        <v>14</v>
      </c>
      <c r="B16" s="20" t="s">
        <v>23</v>
      </c>
      <c r="C16" s="6" t="s">
        <v>10</v>
      </c>
      <c r="D16" s="29" t="s">
        <v>11</v>
      </c>
      <c r="E16" s="21" t="s">
        <v>12</v>
      </c>
      <c r="F16" s="21" t="s">
        <v>13</v>
      </c>
    </row>
    <row r="17" spans="1:6" ht="15.75" thickBot="1" x14ac:dyDescent="0.3">
      <c r="A17" s="15">
        <v>3</v>
      </c>
      <c r="B17" s="16" t="s">
        <v>0</v>
      </c>
      <c r="C17" s="36"/>
      <c r="D17" s="30"/>
      <c r="E17" s="22"/>
      <c r="F17" s="22"/>
    </row>
    <row r="18" spans="1:6" ht="36.75" thickBot="1" x14ac:dyDescent="0.3">
      <c r="A18" s="12" t="s">
        <v>3</v>
      </c>
      <c r="B18" s="8" t="s">
        <v>42</v>
      </c>
      <c r="C18" s="24" t="s">
        <v>28</v>
      </c>
      <c r="D18" s="31">
        <f>Julia!D16+Rosalino!D17+Eilirio!D17+'São João_Getúlio'!D17+Osório!D17</f>
        <v>38</v>
      </c>
      <c r="E18" s="44">
        <v>195.55</v>
      </c>
      <c r="F18" s="44">
        <f>E18*D18</f>
        <v>7430.9000000000005</v>
      </c>
    </row>
    <row r="19" spans="1:6" ht="36.75" thickBot="1" x14ac:dyDescent="0.3">
      <c r="A19" s="12" t="s">
        <v>4</v>
      </c>
      <c r="B19" s="8" t="s">
        <v>41</v>
      </c>
      <c r="C19" s="24" t="s">
        <v>28</v>
      </c>
      <c r="D19" s="31">
        <f>Rosalino!D18+Eilirio!D18+'São João_Getúlio'!D18+Osório!D18+Julia!D17</f>
        <v>20</v>
      </c>
      <c r="E19" s="44">
        <v>195.55</v>
      </c>
      <c r="F19" s="44">
        <f t="shared" ref="F19:F23" si="1">E19*D19</f>
        <v>3911</v>
      </c>
    </row>
    <row r="20" spans="1:6" ht="36.75" thickBot="1" x14ac:dyDescent="0.3">
      <c r="A20" s="12" t="s">
        <v>5</v>
      </c>
      <c r="B20" s="8" t="s">
        <v>43</v>
      </c>
      <c r="C20" s="24" t="s">
        <v>28</v>
      </c>
      <c r="D20" s="31">
        <f>Rosalino!D19+Eilirio!D19+'São João_Getúlio'!D19+Osório!D19+Julia!D18</f>
        <v>18</v>
      </c>
      <c r="E20" s="44">
        <v>195.55</v>
      </c>
      <c r="F20" s="44">
        <f t="shared" si="1"/>
        <v>3519.9</v>
      </c>
    </row>
    <row r="21" spans="1:6" ht="15.75" thickBot="1" x14ac:dyDescent="0.3">
      <c r="A21" s="12" t="s">
        <v>6</v>
      </c>
      <c r="B21" s="23" t="s">
        <v>51</v>
      </c>
      <c r="C21" s="24" t="s">
        <v>8</v>
      </c>
      <c r="D21" s="31">
        <f>Julia!D20+Rosalino!D20+Eilirio!D20+'São João_Getúlio'!D20+Osório!D20</f>
        <v>343.22699999999998</v>
      </c>
      <c r="E21" s="44">
        <v>20.77</v>
      </c>
      <c r="F21" s="44">
        <f t="shared" si="1"/>
        <v>7128.8247899999997</v>
      </c>
    </row>
    <row r="22" spans="1:6" ht="15.75" thickBot="1" x14ac:dyDescent="0.3">
      <c r="A22" s="12" t="s">
        <v>22</v>
      </c>
      <c r="B22" s="23" t="s">
        <v>48</v>
      </c>
      <c r="C22" s="24" t="s">
        <v>8</v>
      </c>
      <c r="D22" s="31">
        <f>Julia!D19</f>
        <v>32.799999999999997</v>
      </c>
      <c r="E22" s="44">
        <v>20.77</v>
      </c>
      <c r="F22" s="44">
        <f t="shared" si="1"/>
        <v>681.25599999999997</v>
      </c>
    </row>
    <row r="23" spans="1:6" ht="26.25" thickBot="1" x14ac:dyDescent="0.3">
      <c r="A23" s="12" t="s">
        <v>47</v>
      </c>
      <c r="B23" s="23" t="s">
        <v>45</v>
      </c>
      <c r="C23" s="24" t="s">
        <v>8</v>
      </c>
      <c r="D23" s="31">
        <f>Julia!D21+Rosalino!D21+Eilirio!D21+'São João_Getúlio'!D21+Osório!D21</f>
        <v>201.15</v>
      </c>
      <c r="E23" s="44">
        <v>20.39</v>
      </c>
      <c r="F23" s="44">
        <f t="shared" si="1"/>
        <v>4101.4485000000004</v>
      </c>
    </row>
    <row r="24" spans="1:6" ht="15.75" thickBot="1" x14ac:dyDescent="0.3">
      <c r="A24" s="13"/>
      <c r="B24" s="18" t="s">
        <v>7</v>
      </c>
      <c r="C24" s="35"/>
      <c r="D24" s="19"/>
      <c r="E24" s="42"/>
      <c r="F24" s="43">
        <f>SUM(F18:F23)</f>
        <v>26773.329290000001</v>
      </c>
    </row>
    <row r="26" spans="1:6" ht="15.75" x14ac:dyDescent="0.25">
      <c r="E26" s="46" t="s">
        <v>7</v>
      </c>
      <c r="F26" s="114">
        <f>F24+F14</f>
        <v>1201890.7280340001</v>
      </c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F13" sqref="F13"/>
    </sheetView>
  </sheetViews>
  <sheetFormatPr defaultRowHeight="15" x14ac:dyDescent="0.25"/>
  <cols>
    <col min="1" max="1" width="5.42578125" bestFit="1" customWidth="1"/>
    <col min="2" max="2" width="87.5703125" customWidth="1"/>
    <col min="3" max="3" width="6.140625" bestFit="1" customWidth="1"/>
    <col min="5" max="5" width="11.42578125" bestFit="1" customWidth="1"/>
    <col min="6" max="6" width="14" bestFit="1" customWidth="1"/>
  </cols>
  <sheetData>
    <row r="1" spans="1:7" x14ac:dyDescent="0.25">
      <c r="B1" s="1" t="s">
        <v>30</v>
      </c>
    </row>
    <row r="2" spans="1:7" x14ac:dyDescent="0.25">
      <c r="B2" s="1" t="s">
        <v>31</v>
      </c>
    </row>
    <row r="3" spans="1:7" x14ac:dyDescent="0.25">
      <c r="B3" s="1" t="s">
        <v>32</v>
      </c>
    </row>
    <row r="4" spans="1:7" ht="15.75" thickBot="1" x14ac:dyDescent="0.3">
      <c r="B4" s="1" t="s">
        <v>55</v>
      </c>
    </row>
    <row r="5" spans="1:7" ht="15.75" thickBot="1" x14ac:dyDescent="0.3">
      <c r="E5" s="33" t="s">
        <v>29</v>
      </c>
      <c r="F5" s="53">
        <v>0.26440000000000002</v>
      </c>
    </row>
    <row r="6" spans="1:7" ht="15.75" thickBot="1" x14ac:dyDescent="0.3"/>
    <row r="7" spans="1:7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</row>
    <row r="8" spans="1:7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7" ht="18" customHeight="1" thickBot="1" x14ac:dyDescent="0.3">
      <c r="A9" s="34" t="s">
        <v>1</v>
      </c>
      <c r="B9" s="8" t="s">
        <v>25</v>
      </c>
      <c r="C9" s="9" t="s">
        <v>9</v>
      </c>
      <c r="D9" s="47">
        <v>2923.21</v>
      </c>
      <c r="E9" s="11">
        <v>4.22</v>
      </c>
      <c r="F9" s="11">
        <f>E9*D9</f>
        <v>12335.9462</v>
      </c>
      <c r="G9" s="7"/>
    </row>
    <row r="10" spans="1:7" ht="16.5" customHeight="1" thickBot="1" x14ac:dyDescent="0.3">
      <c r="A10" s="34" t="s">
        <v>15</v>
      </c>
      <c r="B10" s="8" t="s">
        <v>26</v>
      </c>
      <c r="C10" s="9" t="s">
        <v>9</v>
      </c>
      <c r="D10" s="47">
        <f>D9</f>
        <v>2923.21</v>
      </c>
      <c r="E10" s="11">
        <v>2.27</v>
      </c>
      <c r="F10" s="11">
        <f t="shared" ref="F10:F11" si="0">E10*D10</f>
        <v>6635.6867000000002</v>
      </c>
      <c r="G10" s="7"/>
    </row>
    <row r="11" spans="1:7" ht="24.75" thickBot="1" x14ac:dyDescent="0.3">
      <c r="A11" s="34" t="s">
        <v>16</v>
      </c>
      <c r="B11" s="26" t="s">
        <v>46</v>
      </c>
      <c r="C11" s="9" t="s">
        <v>27</v>
      </c>
      <c r="D11" s="10">
        <f>(D10*0.04)*2.5</f>
        <v>292.32100000000003</v>
      </c>
      <c r="E11" s="11">
        <v>510</v>
      </c>
      <c r="F11" s="11">
        <f t="shared" si="0"/>
        <v>149083.71000000002</v>
      </c>
      <c r="G11" s="14"/>
    </row>
    <row r="12" spans="1:7" ht="15.75" thickBot="1" x14ac:dyDescent="0.3">
      <c r="A12" s="13"/>
      <c r="B12" s="18" t="s">
        <v>7</v>
      </c>
      <c r="C12" s="35"/>
      <c r="D12" s="27"/>
      <c r="E12" s="19"/>
      <c r="F12" s="32">
        <f>F9+F10+F11</f>
        <v>168055.34290000002</v>
      </c>
      <c r="G12" s="3"/>
    </row>
    <row r="13" spans="1:7" ht="15.75" thickBot="1" x14ac:dyDescent="0.3">
      <c r="A13" s="2"/>
      <c r="C13" s="2"/>
      <c r="D13" s="25"/>
    </row>
    <row r="14" spans="1:7" ht="16.5" thickBot="1" x14ac:dyDescent="0.3">
      <c r="A14" s="4" t="s">
        <v>14</v>
      </c>
      <c r="B14" s="20" t="s">
        <v>23</v>
      </c>
      <c r="C14" s="6" t="s">
        <v>10</v>
      </c>
      <c r="D14" s="29" t="s">
        <v>11</v>
      </c>
      <c r="E14" s="21" t="s">
        <v>12</v>
      </c>
      <c r="F14" s="21" t="s">
        <v>13</v>
      </c>
    </row>
    <row r="15" spans="1:7" ht="15.75" thickBot="1" x14ac:dyDescent="0.3">
      <c r="A15" s="15">
        <v>2</v>
      </c>
      <c r="B15" s="16" t="s">
        <v>0</v>
      </c>
      <c r="C15" s="36"/>
      <c r="D15" s="30"/>
      <c r="E15" s="22"/>
      <c r="F15" s="22"/>
    </row>
    <row r="16" spans="1:7" ht="36.75" thickBot="1" x14ac:dyDescent="0.3">
      <c r="A16" s="12" t="s">
        <v>2</v>
      </c>
      <c r="B16" s="8" t="s">
        <v>42</v>
      </c>
      <c r="C16" s="24" t="s">
        <v>28</v>
      </c>
      <c r="D16" s="10">
        <v>14</v>
      </c>
      <c r="E16" s="17">
        <v>195.55</v>
      </c>
      <c r="F16" s="17">
        <f>E16*D16</f>
        <v>2737.7000000000003</v>
      </c>
    </row>
    <row r="17" spans="1:6" ht="36.75" thickBot="1" x14ac:dyDescent="0.3">
      <c r="A17" s="12" t="s">
        <v>17</v>
      </c>
      <c r="B17" s="8" t="s">
        <v>41</v>
      </c>
      <c r="C17" s="24" t="s">
        <v>28</v>
      </c>
      <c r="D17" s="10">
        <v>6</v>
      </c>
      <c r="E17" s="17">
        <v>195.55</v>
      </c>
      <c r="F17" s="17">
        <f t="shared" ref="F17:F21" si="1">E17*D17</f>
        <v>1173.3000000000002</v>
      </c>
    </row>
    <row r="18" spans="1:6" ht="36.75" thickBot="1" x14ac:dyDescent="0.3">
      <c r="A18" s="12" t="s">
        <v>18</v>
      </c>
      <c r="B18" s="8" t="s">
        <v>43</v>
      </c>
      <c r="C18" s="24" t="s">
        <v>28</v>
      </c>
      <c r="D18" s="10">
        <v>5</v>
      </c>
      <c r="E18" s="17">
        <v>195.55</v>
      </c>
      <c r="F18" s="17">
        <f t="shared" si="1"/>
        <v>977.75</v>
      </c>
    </row>
    <row r="19" spans="1:6" ht="15.75" thickBot="1" x14ac:dyDescent="0.3">
      <c r="A19" s="12" t="s">
        <v>19</v>
      </c>
      <c r="B19" s="23" t="s">
        <v>49</v>
      </c>
      <c r="C19" s="24" t="s">
        <v>8</v>
      </c>
      <c r="D19" s="10">
        <v>32.799999999999997</v>
      </c>
      <c r="E19" s="17">
        <v>20.77</v>
      </c>
      <c r="F19" s="17">
        <f t="shared" si="1"/>
        <v>681.25599999999997</v>
      </c>
    </row>
    <row r="20" spans="1:6" ht="15.75" thickBot="1" x14ac:dyDescent="0.3">
      <c r="A20" s="12" t="s">
        <v>20</v>
      </c>
      <c r="B20" s="23" t="s">
        <v>50</v>
      </c>
      <c r="C20" s="24" t="s">
        <v>8</v>
      </c>
      <c r="D20" s="10">
        <v>47.23</v>
      </c>
      <c r="E20" s="17">
        <v>20.77</v>
      </c>
      <c r="F20" s="17">
        <f t="shared" ref="F20" si="2">E20*D20</f>
        <v>980.96709999999996</v>
      </c>
    </row>
    <row r="21" spans="1:6" ht="26.25" thickBot="1" x14ac:dyDescent="0.3">
      <c r="A21" s="12" t="s">
        <v>21</v>
      </c>
      <c r="B21" s="23" t="s">
        <v>45</v>
      </c>
      <c r="C21" s="24" t="s">
        <v>8</v>
      </c>
      <c r="D21" s="10">
        <v>86.4</v>
      </c>
      <c r="E21" s="17">
        <v>20.39</v>
      </c>
      <c r="F21" s="17">
        <f t="shared" si="1"/>
        <v>1761.6960000000001</v>
      </c>
    </row>
    <row r="22" spans="1:6" ht="15.75" thickBot="1" x14ac:dyDescent="0.3">
      <c r="A22" s="13"/>
      <c r="B22" s="18" t="s">
        <v>7</v>
      </c>
      <c r="C22" s="35"/>
      <c r="D22" s="19"/>
      <c r="E22" s="19"/>
      <c r="F22" s="32">
        <f>SUM(F16:F21)</f>
        <v>8312.669100000001</v>
      </c>
    </row>
    <row r="24" spans="1:6" x14ac:dyDescent="0.25">
      <c r="E24" s="39" t="s">
        <v>7</v>
      </c>
      <c r="F24" s="40">
        <f>F22+F12</f>
        <v>176368.01200000002</v>
      </c>
    </row>
    <row r="25" spans="1:6" x14ac:dyDescent="0.25">
      <c r="F25" s="37"/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F17" sqref="F17:F22"/>
    </sheetView>
  </sheetViews>
  <sheetFormatPr defaultRowHeight="15" x14ac:dyDescent="0.25"/>
  <cols>
    <col min="1" max="1" width="5.42578125" bestFit="1" customWidth="1"/>
    <col min="2" max="2" width="86.85546875" customWidth="1"/>
    <col min="3" max="3" width="6.140625" bestFit="1" customWidth="1"/>
    <col min="5" max="5" width="11.5703125" bestFit="1" customWidth="1"/>
    <col min="6" max="6" width="13.85546875" bestFit="1" customWidth="1"/>
    <col min="8" max="8" width="10.140625" bestFit="1" customWidth="1"/>
    <col min="9" max="9" width="14.28515625" bestFit="1" customWidth="1"/>
    <col min="11" max="11" width="13.28515625" bestFit="1" customWidth="1"/>
  </cols>
  <sheetData>
    <row r="1" spans="1:11" x14ac:dyDescent="0.25">
      <c r="B1" s="1" t="s">
        <v>30</v>
      </c>
    </row>
    <row r="2" spans="1:11" x14ac:dyDescent="0.25">
      <c r="B2" s="1" t="s">
        <v>31</v>
      </c>
    </row>
    <row r="3" spans="1:11" x14ac:dyDescent="0.25">
      <c r="B3" s="1" t="s">
        <v>32</v>
      </c>
    </row>
    <row r="4" spans="1:11" ht="15.75" thickBot="1" x14ac:dyDescent="0.3">
      <c r="B4" s="1" t="s">
        <v>33</v>
      </c>
    </row>
    <row r="5" spans="1:11" ht="15.75" thickBot="1" x14ac:dyDescent="0.3">
      <c r="E5" s="33" t="s">
        <v>29</v>
      </c>
      <c r="F5" s="53">
        <v>0.26440000000000002</v>
      </c>
    </row>
    <row r="6" spans="1:11" ht="15.75" thickBot="1" x14ac:dyDescent="0.3"/>
    <row r="7" spans="1:11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  <c r="K7" s="50"/>
    </row>
    <row r="8" spans="1:11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11" ht="18" customHeight="1" thickBot="1" x14ac:dyDescent="0.3">
      <c r="A9" s="34" t="s">
        <v>1</v>
      </c>
      <c r="B9" s="8" t="s">
        <v>52</v>
      </c>
      <c r="C9" s="9" t="s">
        <v>9</v>
      </c>
      <c r="D9" s="10">
        <v>5551.38</v>
      </c>
      <c r="E9" s="41">
        <v>1.67</v>
      </c>
      <c r="F9" s="41">
        <f>E9*D9</f>
        <v>9270.8045999999995</v>
      </c>
      <c r="G9" s="7"/>
      <c r="H9" s="25"/>
    </row>
    <row r="10" spans="1:11" ht="24.75" thickBot="1" x14ac:dyDescent="0.3">
      <c r="A10" s="34" t="s">
        <v>15</v>
      </c>
      <c r="B10" s="8" t="s">
        <v>37</v>
      </c>
      <c r="C10" s="9" t="s">
        <v>39</v>
      </c>
      <c r="D10" s="10">
        <f>(D9*(2/100))</f>
        <v>111.02760000000001</v>
      </c>
      <c r="E10" s="41">
        <v>1180.56</v>
      </c>
      <c r="F10" s="41">
        <f>E10*D10</f>
        <v>131074.743456</v>
      </c>
      <c r="G10" s="7"/>
    </row>
    <row r="11" spans="1:11" ht="15.75" thickBot="1" x14ac:dyDescent="0.3">
      <c r="A11" s="34" t="s">
        <v>16</v>
      </c>
      <c r="B11" s="8" t="s">
        <v>26</v>
      </c>
      <c r="C11" s="9" t="s">
        <v>9</v>
      </c>
      <c r="D11" s="10">
        <f>D9*2</f>
        <v>11102.76</v>
      </c>
      <c r="E11" s="41">
        <v>2.27</v>
      </c>
      <c r="F11" s="41">
        <f t="shared" ref="F11:F12" si="0">E11*D11</f>
        <v>25203.265200000002</v>
      </c>
      <c r="G11" s="7"/>
      <c r="H11" s="25"/>
      <c r="K11" s="49"/>
    </row>
    <row r="12" spans="1:11" ht="36.75" thickBot="1" x14ac:dyDescent="0.3">
      <c r="A12" s="34" t="s">
        <v>38</v>
      </c>
      <c r="B12" s="26" t="s">
        <v>40</v>
      </c>
      <c r="C12" s="9" t="s">
        <v>27</v>
      </c>
      <c r="D12" s="10">
        <f>(D9*0.04)*2.5</f>
        <v>555.13800000000003</v>
      </c>
      <c r="E12" s="41">
        <v>510</v>
      </c>
      <c r="F12" s="41">
        <f t="shared" si="0"/>
        <v>283120.38</v>
      </c>
      <c r="G12" s="14"/>
      <c r="H12" s="25"/>
      <c r="I12" s="51"/>
    </row>
    <row r="13" spans="1:11" ht="15.75" thickBot="1" x14ac:dyDescent="0.3">
      <c r="A13" s="13"/>
      <c r="B13" s="18" t="s">
        <v>7</v>
      </c>
      <c r="C13" s="35"/>
      <c r="D13" s="27"/>
      <c r="E13" s="42"/>
      <c r="F13" s="43">
        <f>SUM(F9:F12)</f>
        <v>448669.193256</v>
      </c>
      <c r="G13" s="3"/>
      <c r="I13" s="49"/>
    </row>
    <row r="14" spans="1:11" ht="15.75" thickBot="1" x14ac:dyDescent="0.3">
      <c r="A14" s="2"/>
      <c r="C14" s="2"/>
      <c r="D14" s="25"/>
    </row>
    <row r="15" spans="1:11" ht="16.5" thickBot="1" x14ac:dyDescent="0.3">
      <c r="A15" s="4" t="s">
        <v>14</v>
      </c>
      <c r="B15" s="20" t="s">
        <v>23</v>
      </c>
      <c r="C15" s="6" t="s">
        <v>10</v>
      </c>
      <c r="D15" s="29" t="s">
        <v>11</v>
      </c>
      <c r="E15" s="21" t="s">
        <v>12</v>
      </c>
      <c r="F15" s="21" t="s">
        <v>13</v>
      </c>
      <c r="I15" s="52"/>
    </row>
    <row r="16" spans="1:11" ht="15.75" thickBot="1" x14ac:dyDescent="0.3">
      <c r="A16" s="15">
        <v>2</v>
      </c>
      <c r="B16" s="16" t="s">
        <v>0</v>
      </c>
      <c r="C16" s="36"/>
      <c r="D16" s="30"/>
      <c r="E16" s="22"/>
      <c r="F16" s="22"/>
      <c r="I16" s="50"/>
    </row>
    <row r="17" spans="1:9" ht="36.75" thickBot="1" x14ac:dyDescent="0.3">
      <c r="A17" s="12" t="s">
        <v>2</v>
      </c>
      <c r="B17" s="8" t="s">
        <v>42</v>
      </c>
      <c r="C17" s="24" t="s">
        <v>28</v>
      </c>
      <c r="D17" s="31">
        <v>10</v>
      </c>
      <c r="E17" s="44">
        <v>195.55</v>
      </c>
      <c r="F17" s="44">
        <f>E17*D17</f>
        <v>1955.5</v>
      </c>
      <c r="I17" s="49"/>
    </row>
    <row r="18" spans="1:9" ht="36.75" thickBot="1" x14ac:dyDescent="0.3">
      <c r="A18" s="12" t="s">
        <v>17</v>
      </c>
      <c r="B18" s="8" t="s">
        <v>41</v>
      </c>
      <c r="C18" s="24" t="s">
        <v>28</v>
      </c>
      <c r="D18" s="28">
        <v>6</v>
      </c>
      <c r="E18" s="44">
        <v>195.55</v>
      </c>
      <c r="F18" s="44">
        <f t="shared" ref="F18:F21" si="1">E18*D18</f>
        <v>1173.3000000000002</v>
      </c>
    </row>
    <row r="19" spans="1:9" ht="36.75" thickBot="1" x14ac:dyDescent="0.3">
      <c r="A19" s="12" t="s">
        <v>18</v>
      </c>
      <c r="B19" s="8" t="s">
        <v>43</v>
      </c>
      <c r="C19" s="24" t="s">
        <v>28</v>
      </c>
      <c r="D19" s="28">
        <v>6</v>
      </c>
      <c r="E19" s="44">
        <v>195.55</v>
      </c>
      <c r="F19" s="44">
        <f t="shared" si="1"/>
        <v>1173.3000000000002</v>
      </c>
      <c r="I19" s="49"/>
    </row>
    <row r="20" spans="1:9" ht="15.75" thickBot="1" x14ac:dyDescent="0.3">
      <c r="A20" s="12" t="s">
        <v>19</v>
      </c>
      <c r="B20" s="23" t="s">
        <v>44</v>
      </c>
      <c r="C20" s="24" t="s">
        <v>8</v>
      </c>
      <c r="D20" s="38">
        <v>122.33</v>
      </c>
      <c r="E20" s="44">
        <v>20.77</v>
      </c>
      <c r="F20" s="44">
        <f t="shared" si="1"/>
        <v>2540.7941000000001</v>
      </c>
    </row>
    <row r="21" spans="1:9" ht="26.25" thickBot="1" x14ac:dyDescent="0.3">
      <c r="A21" s="12" t="s">
        <v>20</v>
      </c>
      <c r="B21" s="23" t="s">
        <v>45</v>
      </c>
      <c r="C21" s="24" t="s">
        <v>8</v>
      </c>
      <c r="D21" s="38">
        <v>39.6</v>
      </c>
      <c r="E21" s="44">
        <v>20.39</v>
      </c>
      <c r="F21" s="44">
        <f t="shared" si="1"/>
        <v>807.44400000000007</v>
      </c>
    </row>
    <row r="22" spans="1:9" ht="15.75" thickBot="1" x14ac:dyDescent="0.3">
      <c r="A22" s="13"/>
      <c r="B22" s="18" t="s">
        <v>7</v>
      </c>
      <c r="C22" s="35"/>
      <c r="D22" s="19"/>
      <c r="E22" s="42"/>
      <c r="F22" s="43">
        <f>SUM(F17:F21)</f>
        <v>7650.3381000000008</v>
      </c>
    </row>
    <row r="24" spans="1:9" x14ac:dyDescent="0.25">
      <c r="E24" s="39" t="s">
        <v>7</v>
      </c>
      <c r="F24" s="45">
        <f>F22+F13</f>
        <v>456319.53135599999</v>
      </c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F17" sqref="F17:F22"/>
    </sheetView>
  </sheetViews>
  <sheetFormatPr defaultRowHeight="15" x14ac:dyDescent="0.25"/>
  <cols>
    <col min="1" max="1" width="5.42578125" bestFit="1" customWidth="1"/>
    <col min="2" max="2" width="88.5703125" customWidth="1"/>
    <col min="3" max="3" width="6.140625" bestFit="1" customWidth="1"/>
    <col min="5" max="5" width="11.5703125" bestFit="1" customWidth="1"/>
    <col min="6" max="6" width="13.85546875" bestFit="1" customWidth="1"/>
  </cols>
  <sheetData>
    <row r="1" spans="1:7" x14ac:dyDescent="0.25">
      <c r="B1" s="1" t="s">
        <v>30</v>
      </c>
    </row>
    <row r="2" spans="1:7" x14ac:dyDescent="0.25">
      <c r="B2" s="1" t="s">
        <v>31</v>
      </c>
    </row>
    <row r="3" spans="1:7" x14ac:dyDescent="0.25">
      <c r="B3" s="1" t="s">
        <v>32</v>
      </c>
    </row>
    <row r="4" spans="1:7" ht="15.75" thickBot="1" x14ac:dyDescent="0.3">
      <c r="B4" s="1" t="s">
        <v>36</v>
      </c>
    </row>
    <row r="5" spans="1:7" ht="15.75" thickBot="1" x14ac:dyDescent="0.3">
      <c r="E5" s="33" t="s">
        <v>29</v>
      </c>
      <c r="F5" s="53">
        <v>0.26440000000000002</v>
      </c>
    </row>
    <row r="6" spans="1:7" ht="15.75" thickBot="1" x14ac:dyDescent="0.3"/>
    <row r="7" spans="1:7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</row>
    <row r="8" spans="1:7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7" ht="18" customHeight="1" thickBot="1" x14ac:dyDescent="0.3">
      <c r="A9" s="34" t="s">
        <v>1</v>
      </c>
      <c r="B9" s="8" t="s">
        <v>52</v>
      </c>
      <c r="C9" s="9" t="s">
        <v>9</v>
      </c>
      <c r="D9" s="10">
        <f>1717.11-81.08-45.2-74.23</f>
        <v>1516.6</v>
      </c>
      <c r="E9" s="41">
        <v>1.67</v>
      </c>
      <c r="F9" s="41">
        <f>E9*D9</f>
        <v>2532.7219999999998</v>
      </c>
      <c r="G9" s="7"/>
    </row>
    <row r="10" spans="1:7" ht="24.75" thickBot="1" x14ac:dyDescent="0.3">
      <c r="A10" s="34" t="s">
        <v>15</v>
      </c>
      <c r="B10" s="8" t="s">
        <v>37</v>
      </c>
      <c r="C10" s="9" t="s">
        <v>39</v>
      </c>
      <c r="D10" s="10">
        <f>D9*(2/100)</f>
        <v>30.331999999999997</v>
      </c>
      <c r="E10" s="41">
        <v>1180.56</v>
      </c>
      <c r="F10" s="41">
        <f>E10*D10</f>
        <v>35808.745919999994</v>
      </c>
      <c r="G10" s="7"/>
    </row>
    <row r="11" spans="1:7" ht="15.75" thickBot="1" x14ac:dyDescent="0.3">
      <c r="A11" s="34" t="s">
        <v>16</v>
      </c>
      <c r="B11" s="8" t="s">
        <v>26</v>
      </c>
      <c r="C11" s="9" t="s">
        <v>9</v>
      </c>
      <c r="D11" s="10">
        <f>D9*2</f>
        <v>3033.2</v>
      </c>
      <c r="E11" s="41">
        <v>2.27</v>
      </c>
      <c r="F11" s="41">
        <f t="shared" ref="F11:F12" si="0">E11*D11</f>
        <v>6885.3639999999996</v>
      </c>
      <c r="G11" s="7"/>
    </row>
    <row r="12" spans="1:7" ht="24.75" thickBot="1" x14ac:dyDescent="0.3">
      <c r="A12" s="34" t="s">
        <v>38</v>
      </c>
      <c r="B12" s="26" t="s">
        <v>40</v>
      </c>
      <c r="C12" s="9" t="s">
        <v>27</v>
      </c>
      <c r="D12" s="10">
        <f>(D9*0.04)*2.5</f>
        <v>151.66</v>
      </c>
      <c r="E12" s="41">
        <v>510</v>
      </c>
      <c r="F12" s="41">
        <f t="shared" si="0"/>
        <v>77346.599999999991</v>
      </c>
      <c r="G12" s="14"/>
    </row>
    <row r="13" spans="1:7" ht="15.75" thickBot="1" x14ac:dyDescent="0.3">
      <c r="A13" s="13"/>
      <c r="B13" s="18" t="s">
        <v>7</v>
      </c>
      <c r="C13" s="35"/>
      <c r="D13" s="27"/>
      <c r="E13" s="42"/>
      <c r="F13" s="43">
        <f>SUM(F9:F12)</f>
        <v>122573.43191999999</v>
      </c>
      <c r="G13" s="3"/>
    </row>
    <row r="14" spans="1:7" ht="15.75" thickBot="1" x14ac:dyDescent="0.3">
      <c r="A14" s="2"/>
      <c r="C14" s="2"/>
      <c r="D14" s="25"/>
    </row>
    <row r="15" spans="1:7" ht="16.5" thickBot="1" x14ac:dyDescent="0.3">
      <c r="A15" s="4" t="s">
        <v>14</v>
      </c>
      <c r="B15" s="20" t="s">
        <v>23</v>
      </c>
      <c r="C15" s="6" t="s">
        <v>10</v>
      </c>
      <c r="D15" s="29" t="s">
        <v>11</v>
      </c>
      <c r="E15" s="21" t="s">
        <v>12</v>
      </c>
      <c r="F15" s="21" t="s">
        <v>13</v>
      </c>
    </row>
    <row r="16" spans="1:7" ht="15.75" thickBot="1" x14ac:dyDescent="0.3">
      <c r="A16" s="15">
        <v>2</v>
      </c>
      <c r="B16" s="16" t="s">
        <v>0</v>
      </c>
      <c r="C16" s="36"/>
      <c r="D16" s="30"/>
      <c r="E16" s="22"/>
      <c r="F16" s="22"/>
    </row>
    <row r="17" spans="1:6" ht="36.75" thickBot="1" x14ac:dyDescent="0.3">
      <c r="A17" s="12" t="s">
        <v>2</v>
      </c>
      <c r="B17" s="8" t="s">
        <v>42</v>
      </c>
      <c r="C17" s="24" t="s">
        <v>28</v>
      </c>
      <c r="D17" s="31">
        <v>4</v>
      </c>
      <c r="E17" s="44">
        <v>195.55</v>
      </c>
      <c r="F17" s="44">
        <f>E17*D17</f>
        <v>782.2</v>
      </c>
    </row>
    <row r="18" spans="1:6" ht="36.75" thickBot="1" x14ac:dyDescent="0.3">
      <c r="A18" s="12" t="s">
        <v>17</v>
      </c>
      <c r="B18" s="8" t="s">
        <v>41</v>
      </c>
      <c r="C18" s="24" t="s">
        <v>28</v>
      </c>
      <c r="D18" s="28">
        <v>2</v>
      </c>
      <c r="E18" s="44">
        <v>195.55</v>
      </c>
      <c r="F18" s="44">
        <f t="shared" ref="F18:F21" si="1">E18*D18</f>
        <v>391.1</v>
      </c>
    </row>
    <row r="19" spans="1:6" ht="36.75" thickBot="1" x14ac:dyDescent="0.3">
      <c r="A19" s="12" t="s">
        <v>18</v>
      </c>
      <c r="B19" s="8" t="s">
        <v>43</v>
      </c>
      <c r="C19" s="24" t="s">
        <v>28</v>
      </c>
      <c r="D19" s="28">
        <v>2</v>
      </c>
      <c r="E19" s="44">
        <v>195.55</v>
      </c>
      <c r="F19" s="44">
        <f t="shared" si="1"/>
        <v>391.1</v>
      </c>
    </row>
    <row r="20" spans="1:6" ht="15.75" thickBot="1" x14ac:dyDescent="0.3">
      <c r="A20" s="12" t="s">
        <v>19</v>
      </c>
      <c r="B20" s="23" t="s">
        <v>44</v>
      </c>
      <c r="C20" s="24" t="s">
        <v>8</v>
      </c>
      <c r="D20" s="28">
        <f>(118.63*2*0.1)+(230*2*0.1)</f>
        <v>69.725999999999999</v>
      </c>
      <c r="E20" s="44">
        <v>20.77</v>
      </c>
      <c r="F20" s="44">
        <f t="shared" si="1"/>
        <v>1448.20902</v>
      </c>
    </row>
    <row r="21" spans="1:6" ht="26.25" thickBot="1" x14ac:dyDescent="0.3">
      <c r="A21" s="12" t="s">
        <v>20</v>
      </c>
      <c r="B21" s="23" t="s">
        <v>45</v>
      </c>
      <c r="C21" s="24" t="s">
        <v>8</v>
      </c>
      <c r="D21" s="28">
        <v>18.899999999999999</v>
      </c>
      <c r="E21" s="44">
        <v>20.39</v>
      </c>
      <c r="F21" s="44">
        <f t="shared" si="1"/>
        <v>385.37099999999998</v>
      </c>
    </row>
    <row r="22" spans="1:6" ht="15.75" thickBot="1" x14ac:dyDescent="0.3">
      <c r="A22" s="13"/>
      <c r="B22" s="18" t="s">
        <v>7</v>
      </c>
      <c r="C22" s="35"/>
      <c r="D22" s="19"/>
      <c r="E22" s="42"/>
      <c r="F22" s="43">
        <f>SUM(F17:F21)</f>
        <v>3397.98002</v>
      </c>
    </row>
    <row r="24" spans="1:6" x14ac:dyDescent="0.25">
      <c r="E24" s="39" t="s">
        <v>7</v>
      </c>
      <c r="F24" s="45">
        <f>F22+F13</f>
        <v>125971.41193999999</v>
      </c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A7" workbookViewId="0">
      <selection activeCell="F17" sqref="F17:F22"/>
    </sheetView>
  </sheetViews>
  <sheetFormatPr defaultRowHeight="15" x14ac:dyDescent="0.25"/>
  <cols>
    <col min="1" max="1" width="5.42578125" bestFit="1" customWidth="1"/>
    <col min="2" max="2" width="86" customWidth="1"/>
    <col min="3" max="3" width="6.140625" bestFit="1" customWidth="1"/>
    <col min="5" max="5" width="11.42578125" bestFit="1" customWidth="1"/>
    <col min="6" max="6" width="12.28515625" bestFit="1" customWidth="1"/>
  </cols>
  <sheetData>
    <row r="1" spans="1:7" x14ac:dyDescent="0.25">
      <c r="B1" s="1" t="s">
        <v>30</v>
      </c>
    </row>
    <row r="2" spans="1:7" x14ac:dyDescent="0.25">
      <c r="B2" s="1" t="s">
        <v>31</v>
      </c>
    </row>
    <row r="3" spans="1:7" x14ac:dyDescent="0.25">
      <c r="B3" s="1" t="s">
        <v>32</v>
      </c>
    </row>
    <row r="4" spans="1:7" ht="15.75" thickBot="1" x14ac:dyDescent="0.3">
      <c r="B4" s="1" t="s">
        <v>35</v>
      </c>
    </row>
    <row r="5" spans="1:7" ht="15.75" thickBot="1" x14ac:dyDescent="0.3">
      <c r="E5" s="33" t="s">
        <v>29</v>
      </c>
      <c r="F5" s="53">
        <v>0.26440000000000002</v>
      </c>
    </row>
    <row r="6" spans="1:7" ht="15.75" thickBot="1" x14ac:dyDescent="0.3"/>
    <row r="7" spans="1:7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</row>
    <row r="8" spans="1:7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7" ht="18" customHeight="1" thickBot="1" x14ac:dyDescent="0.3">
      <c r="A9" s="34" t="s">
        <v>1</v>
      </c>
      <c r="B9" s="8" t="s">
        <v>52</v>
      </c>
      <c r="C9" s="9" t="s">
        <v>9</v>
      </c>
      <c r="D9" s="10">
        <v>3592.21</v>
      </c>
      <c r="E9" s="11">
        <v>1.67</v>
      </c>
      <c r="F9" s="11">
        <f>E9*D9</f>
        <v>5998.9906999999994</v>
      </c>
      <c r="G9" s="7"/>
    </row>
    <row r="10" spans="1:7" ht="24.75" thickBot="1" x14ac:dyDescent="0.3">
      <c r="A10" s="34" t="s">
        <v>15</v>
      </c>
      <c r="B10" s="8" t="s">
        <v>37</v>
      </c>
      <c r="C10" s="9" t="s">
        <v>39</v>
      </c>
      <c r="D10" s="10">
        <f>D9*(2/100)</f>
        <v>71.844200000000001</v>
      </c>
      <c r="E10" s="11">
        <v>1180.56</v>
      </c>
      <c r="F10" s="11">
        <f>E10*D10</f>
        <v>84816.388751999999</v>
      </c>
      <c r="G10" s="7"/>
    </row>
    <row r="11" spans="1:7" ht="15.75" thickBot="1" x14ac:dyDescent="0.3">
      <c r="A11" s="34" t="s">
        <v>16</v>
      </c>
      <c r="B11" s="8" t="s">
        <v>26</v>
      </c>
      <c r="C11" s="9" t="s">
        <v>9</v>
      </c>
      <c r="D11" s="10">
        <f>D9*2</f>
        <v>7184.42</v>
      </c>
      <c r="E11" s="11">
        <v>2.27</v>
      </c>
      <c r="F11" s="11">
        <f t="shared" ref="F11:F12" si="0">E11*D11</f>
        <v>16308.633400000001</v>
      </c>
      <c r="G11" s="7"/>
    </row>
    <row r="12" spans="1:7" ht="36.75" thickBot="1" x14ac:dyDescent="0.3">
      <c r="A12" s="34" t="s">
        <v>38</v>
      </c>
      <c r="B12" s="26" t="s">
        <v>40</v>
      </c>
      <c r="C12" s="9" t="s">
        <v>27</v>
      </c>
      <c r="D12" s="10">
        <f>(D9*0.04)*2.5</f>
        <v>359.221</v>
      </c>
      <c r="E12" s="11">
        <v>510</v>
      </c>
      <c r="F12" s="11">
        <f t="shared" si="0"/>
        <v>183202.71</v>
      </c>
      <c r="G12" s="14"/>
    </row>
    <row r="13" spans="1:7" ht="15.75" thickBot="1" x14ac:dyDescent="0.3">
      <c r="A13" s="13"/>
      <c r="B13" s="18" t="s">
        <v>7</v>
      </c>
      <c r="C13" s="35"/>
      <c r="D13" s="27"/>
      <c r="E13" s="19"/>
      <c r="F13" s="32">
        <f>SUM(F9:F12)</f>
        <v>290326.72285199998</v>
      </c>
      <c r="G13" s="3"/>
    </row>
    <row r="14" spans="1:7" ht="15.75" thickBot="1" x14ac:dyDescent="0.3">
      <c r="A14" s="2"/>
      <c r="C14" s="2"/>
      <c r="D14" s="25"/>
    </row>
    <row r="15" spans="1:7" ht="16.5" thickBot="1" x14ac:dyDescent="0.3">
      <c r="A15" s="4" t="s">
        <v>14</v>
      </c>
      <c r="B15" s="20" t="s">
        <v>23</v>
      </c>
      <c r="C15" s="6" t="s">
        <v>10</v>
      </c>
      <c r="D15" s="29" t="s">
        <v>11</v>
      </c>
      <c r="E15" s="21" t="s">
        <v>12</v>
      </c>
      <c r="F15" s="21" t="s">
        <v>13</v>
      </c>
    </row>
    <row r="16" spans="1:7" ht="15.75" thickBot="1" x14ac:dyDescent="0.3">
      <c r="A16" s="15">
        <v>2</v>
      </c>
      <c r="B16" s="16" t="s">
        <v>0</v>
      </c>
      <c r="C16" s="36"/>
      <c r="D16" s="30"/>
      <c r="E16" s="22"/>
      <c r="F16" s="22"/>
    </row>
    <row r="17" spans="1:6" ht="36.75" thickBot="1" x14ac:dyDescent="0.3">
      <c r="A17" s="12" t="s">
        <v>2</v>
      </c>
      <c r="B17" s="8" t="s">
        <v>42</v>
      </c>
      <c r="C17" s="24" t="s">
        <v>28</v>
      </c>
      <c r="D17" s="31">
        <v>6</v>
      </c>
      <c r="E17" s="17">
        <v>195.55</v>
      </c>
      <c r="F17" s="17">
        <f>E17*D17</f>
        <v>1173.3000000000002</v>
      </c>
    </row>
    <row r="18" spans="1:6" ht="36.75" thickBot="1" x14ac:dyDescent="0.3">
      <c r="A18" s="12" t="s">
        <v>17</v>
      </c>
      <c r="B18" s="8" t="s">
        <v>41</v>
      </c>
      <c r="C18" s="24" t="s">
        <v>28</v>
      </c>
      <c r="D18" s="28">
        <v>4</v>
      </c>
      <c r="E18" s="17">
        <v>195.55</v>
      </c>
      <c r="F18" s="17">
        <f t="shared" ref="F18:F21" si="1">E18*D18</f>
        <v>782.2</v>
      </c>
    </row>
    <row r="19" spans="1:6" ht="36.75" thickBot="1" x14ac:dyDescent="0.3">
      <c r="A19" s="12" t="s">
        <v>18</v>
      </c>
      <c r="B19" s="8" t="s">
        <v>43</v>
      </c>
      <c r="C19" s="24" t="s">
        <v>28</v>
      </c>
      <c r="D19" s="28">
        <v>3</v>
      </c>
      <c r="E19" s="17">
        <v>195.55</v>
      </c>
      <c r="F19" s="17">
        <f t="shared" si="1"/>
        <v>586.65000000000009</v>
      </c>
    </row>
    <row r="20" spans="1:6" ht="15.75" thickBot="1" x14ac:dyDescent="0.3">
      <c r="A20" s="12" t="s">
        <v>19</v>
      </c>
      <c r="B20" s="23" t="s">
        <v>44</v>
      </c>
      <c r="C20" s="24" t="s">
        <v>8</v>
      </c>
      <c r="D20" s="28">
        <f>(122.15+18+8+165.21+59.61+36.6+9+121.65+19.35)*0.1</f>
        <v>55.957000000000008</v>
      </c>
      <c r="E20" s="17">
        <v>20.77</v>
      </c>
      <c r="F20" s="17">
        <f t="shared" si="1"/>
        <v>1162.2268900000001</v>
      </c>
    </row>
    <row r="21" spans="1:6" ht="26.25" thickBot="1" x14ac:dyDescent="0.3">
      <c r="A21" s="12" t="s">
        <v>20</v>
      </c>
      <c r="B21" s="23" t="s">
        <v>45</v>
      </c>
      <c r="C21" s="24" t="s">
        <v>8</v>
      </c>
      <c r="D21" s="28">
        <v>37.35</v>
      </c>
      <c r="E21" s="17">
        <v>20.39</v>
      </c>
      <c r="F21" s="17">
        <f t="shared" si="1"/>
        <v>761.56650000000002</v>
      </c>
    </row>
    <row r="22" spans="1:6" ht="15.75" thickBot="1" x14ac:dyDescent="0.3">
      <c r="A22" s="13"/>
      <c r="B22" s="18" t="s">
        <v>7</v>
      </c>
      <c r="C22" s="35"/>
      <c r="D22" s="19"/>
      <c r="E22" s="19"/>
      <c r="F22" s="32">
        <f>SUM(F17:F21)</f>
        <v>4465.9433900000004</v>
      </c>
    </row>
    <row r="24" spans="1:6" x14ac:dyDescent="0.25">
      <c r="E24" s="39" t="s">
        <v>7</v>
      </c>
      <c r="F24" s="40">
        <f>F22+F13</f>
        <v>294792.66624199995</v>
      </c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workbookViewId="0">
      <selection activeCell="G26" sqref="G26"/>
    </sheetView>
  </sheetViews>
  <sheetFormatPr defaultRowHeight="15" x14ac:dyDescent="0.25"/>
  <cols>
    <col min="1" max="1" width="5.42578125" bestFit="1" customWidth="1"/>
    <col min="2" max="2" width="87.5703125" customWidth="1"/>
    <col min="3" max="3" width="6.140625" bestFit="1" customWidth="1"/>
    <col min="5" max="5" width="11.42578125" bestFit="1" customWidth="1"/>
    <col min="6" max="6" width="14" bestFit="1" customWidth="1"/>
  </cols>
  <sheetData>
    <row r="1" spans="1:8" x14ac:dyDescent="0.25">
      <c r="B1" s="1" t="s">
        <v>30</v>
      </c>
    </row>
    <row r="2" spans="1:8" x14ac:dyDescent="0.25">
      <c r="B2" s="1" t="s">
        <v>31</v>
      </c>
    </row>
    <row r="3" spans="1:8" x14ac:dyDescent="0.25">
      <c r="B3" s="1" t="s">
        <v>32</v>
      </c>
    </row>
    <row r="4" spans="1:8" ht="15.75" thickBot="1" x14ac:dyDescent="0.3">
      <c r="B4" s="1" t="s">
        <v>34</v>
      </c>
    </row>
    <row r="5" spans="1:8" ht="15.75" thickBot="1" x14ac:dyDescent="0.3">
      <c r="E5" s="33" t="s">
        <v>29</v>
      </c>
      <c r="F5" s="53">
        <v>0.26440000000000002</v>
      </c>
    </row>
    <row r="6" spans="1:8" ht="15.75" thickBot="1" x14ac:dyDescent="0.3"/>
    <row r="7" spans="1:8" ht="17.25" customHeight="1" thickBot="1" x14ac:dyDescent="0.3">
      <c r="A7" s="4" t="s">
        <v>14</v>
      </c>
      <c r="B7" s="5" t="s">
        <v>23</v>
      </c>
      <c r="C7" s="6" t="s">
        <v>10</v>
      </c>
      <c r="D7" s="6" t="s">
        <v>11</v>
      </c>
      <c r="E7" s="6" t="s">
        <v>12</v>
      </c>
      <c r="F7" s="6" t="s">
        <v>13</v>
      </c>
      <c r="G7" s="7"/>
    </row>
    <row r="8" spans="1:8" ht="16.5" thickBot="1" x14ac:dyDescent="0.3">
      <c r="A8" s="15">
        <v>1</v>
      </c>
      <c r="B8" s="83" t="s">
        <v>24</v>
      </c>
      <c r="C8" s="84"/>
      <c r="D8" s="84"/>
      <c r="E8" s="84"/>
      <c r="F8" s="85"/>
      <c r="G8" s="7"/>
    </row>
    <row r="9" spans="1:8" ht="15.75" thickBot="1" x14ac:dyDescent="0.3">
      <c r="A9" s="34" t="s">
        <v>1</v>
      </c>
      <c r="B9" s="8" t="s">
        <v>52</v>
      </c>
      <c r="C9" s="9" t="s">
        <v>9</v>
      </c>
      <c r="D9" s="10">
        <v>1800.18</v>
      </c>
      <c r="E9" s="11">
        <v>1.67</v>
      </c>
      <c r="F9" s="11">
        <f>E9*D9</f>
        <v>3006.3006</v>
      </c>
      <c r="G9" s="7"/>
    </row>
    <row r="10" spans="1:8" ht="24.75" thickBot="1" x14ac:dyDescent="0.3">
      <c r="A10" s="34" t="s">
        <v>15</v>
      </c>
      <c r="B10" s="48" t="s">
        <v>37</v>
      </c>
      <c r="C10" s="9" t="s">
        <v>39</v>
      </c>
      <c r="D10" s="10">
        <f>D9*(2/100)</f>
        <v>36.003599999999999</v>
      </c>
      <c r="E10" s="11">
        <v>1180.56</v>
      </c>
      <c r="F10" s="11">
        <f>E10*D10</f>
        <v>42504.410015999994</v>
      </c>
      <c r="G10" s="7"/>
    </row>
    <row r="11" spans="1:8" ht="15.75" thickBot="1" x14ac:dyDescent="0.3">
      <c r="A11" s="34" t="s">
        <v>16</v>
      </c>
      <c r="B11" s="8" t="s">
        <v>26</v>
      </c>
      <c r="C11" s="9" t="s">
        <v>9</v>
      </c>
      <c r="D11" s="10">
        <f>D9*2</f>
        <v>3600.36</v>
      </c>
      <c r="E11" s="11">
        <v>2.27</v>
      </c>
      <c r="F11" s="11">
        <f t="shared" ref="F11:F12" si="0">E11*D11</f>
        <v>8172.8172000000004</v>
      </c>
      <c r="G11" s="7"/>
      <c r="H11" s="25"/>
    </row>
    <row r="12" spans="1:8" ht="24.75" thickBot="1" x14ac:dyDescent="0.3">
      <c r="A12" s="34" t="s">
        <v>38</v>
      </c>
      <c r="B12" s="26" t="s">
        <v>40</v>
      </c>
      <c r="C12" s="9" t="s">
        <v>27</v>
      </c>
      <c r="D12" s="10">
        <f>(D9*0.04)*2.5</f>
        <v>180.018</v>
      </c>
      <c r="E12" s="11">
        <v>510</v>
      </c>
      <c r="F12" s="11">
        <f t="shared" si="0"/>
        <v>91809.180000000008</v>
      </c>
      <c r="G12" s="14"/>
    </row>
    <row r="13" spans="1:8" ht="15.75" thickBot="1" x14ac:dyDescent="0.3">
      <c r="A13" s="13"/>
      <c r="B13" s="18" t="s">
        <v>7</v>
      </c>
      <c r="C13" s="35"/>
      <c r="D13" s="27"/>
      <c r="E13" s="19"/>
      <c r="F13" s="32">
        <f>SUM(F9:F12)</f>
        <v>145492.70781600001</v>
      </c>
      <c r="G13" s="3"/>
    </row>
    <row r="14" spans="1:8" ht="15.75" thickBot="1" x14ac:dyDescent="0.3">
      <c r="A14" s="2"/>
      <c r="C14" s="2"/>
      <c r="D14" s="25"/>
    </row>
    <row r="15" spans="1:8" ht="16.5" thickBot="1" x14ac:dyDescent="0.3">
      <c r="A15" s="4" t="s">
        <v>14</v>
      </c>
      <c r="B15" s="20" t="s">
        <v>23</v>
      </c>
      <c r="C15" s="6" t="s">
        <v>10</v>
      </c>
      <c r="D15" s="29" t="s">
        <v>11</v>
      </c>
      <c r="E15" s="21" t="s">
        <v>12</v>
      </c>
      <c r="F15" s="21" t="s">
        <v>13</v>
      </c>
    </row>
    <row r="16" spans="1:8" ht="15.75" thickBot="1" x14ac:dyDescent="0.3">
      <c r="A16" s="15">
        <v>2</v>
      </c>
      <c r="B16" s="16" t="s">
        <v>0</v>
      </c>
      <c r="C16" s="36"/>
      <c r="D16" s="30"/>
      <c r="E16" s="22"/>
      <c r="F16" s="22"/>
    </row>
    <row r="17" spans="1:6" ht="36.75" thickBot="1" x14ac:dyDescent="0.3">
      <c r="A17" s="12" t="s">
        <v>2</v>
      </c>
      <c r="B17" s="8" t="s">
        <v>42</v>
      </c>
      <c r="C17" s="24" t="s">
        <v>28</v>
      </c>
      <c r="D17" s="31">
        <v>4</v>
      </c>
      <c r="E17" s="17">
        <v>195.55</v>
      </c>
      <c r="F17" s="17">
        <f>E17*D17</f>
        <v>782.2</v>
      </c>
    </row>
    <row r="18" spans="1:6" ht="36.75" thickBot="1" x14ac:dyDescent="0.3">
      <c r="A18" s="12" t="s">
        <v>17</v>
      </c>
      <c r="B18" s="8" t="s">
        <v>41</v>
      </c>
      <c r="C18" s="24" t="s">
        <v>28</v>
      </c>
      <c r="D18" s="28">
        <v>2</v>
      </c>
      <c r="E18" s="17">
        <v>195.55</v>
      </c>
      <c r="F18" s="17">
        <f t="shared" ref="F18:F21" si="1">E18*D18</f>
        <v>391.1</v>
      </c>
    </row>
    <row r="19" spans="1:6" ht="36.75" thickBot="1" x14ac:dyDescent="0.3">
      <c r="A19" s="12" t="s">
        <v>18</v>
      </c>
      <c r="B19" s="8" t="s">
        <v>43</v>
      </c>
      <c r="C19" s="24" t="s">
        <v>28</v>
      </c>
      <c r="D19" s="28">
        <v>2</v>
      </c>
      <c r="E19" s="17">
        <v>195.55</v>
      </c>
      <c r="F19" s="17">
        <f t="shared" si="1"/>
        <v>391.1</v>
      </c>
    </row>
    <row r="20" spans="1:6" ht="15.75" thickBot="1" x14ac:dyDescent="0.3">
      <c r="A20" s="12" t="s">
        <v>19</v>
      </c>
      <c r="B20" s="23" t="s">
        <v>44</v>
      </c>
      <c r="C20" s="24" t="s">
        <v>8</v>
      </c>
      <c r="D20" s="28">
        <f>(119.96*0.1)*4</f>
        <v>47.984000000000002</v>
      </c>
      <c r="E20" s="17">
        <v>20.77</v>
      </c>
      <c r="F20" s="17">
        <f t="shared" si="1"/>
        <v>996.62768000000005</v>
      </c>
    </row>
    <row r="21" spans="1:6" ht="26.25" thickBot="1" x14ac:dyDescent="0.3">
      <c r="A21" s="12" t="s">
        <v>20</v>
      </c>
      <c r="B21" s="23" t="s">
        <v>45</v>
      </c>
      <c r="C21" s="24" t="s">
        <v>8</v>
      </c>
      <c r="D21" s="28">
        <v>18.899999999999999</v>
      </c>
      <c r="E21" s="17">
        <v>20.39</v>
      </c>
      <c r="F21" s="17">
        <f t="shared" si="1"/>
        <v>385.37099999999998</v>
      </c>
    </row>
    <row r="22" spans="1:6" ht="15.75" thickBot="1" x14ac:dyDescent="0.3">
      <c r="A22" s="13"/>
      <c r="B22" s="18" t="s">
        <v>7</v>
      </c>
      <c r="C22" s="35"/>
      <c r="D22" s="19"/>
      <c r="E22" s="19"/>
      <c r="F22" s="32">
        <f>SUM(F17:F21)</f>
        <v>2946.3986800000002</v>
      </c>
    </row>
    <row r="24" spans="1:6" x14ac:dyDescent="0.25">
      <c r="E24" s="39" t="s">
        <v>7</v>
      </c>
      <c r="F24" s="40">
        <f>F22+F13</f>
        <v>148439.10649600002</v>
      </c>
    </row>
    <row r="25" spans="1:6" x14ac:dyDescent="0.25">
      <c r="F25" s="37"/>
    </row>
  </sheetData>
  <mergeCells count="1">
    <mergeCell ref="B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L12"/>
  <sheetViews>
    <sheetView workbookViewId="0">
      <selection activeCell="E11" sqref="E11"/>
    </sheetView>
  </sheetViews>
  <sheetFormatPr defaultRowHeight="15" x14ac:dyDescent="0.25"/>
  <cols>
    <col min="1" max="2" width="0.42578125" customWidth="1"/>
    <col min="3" max="3" width="9.140625" customWidth="1"/>
    <col min="4" max="4" width="32.28515625" customWidth="1"/>
    <col min="5" max="5" width="15.42578125" bestFit="1" customWidth="1"/>
    <col min="6" max="6" width="6.5703125" bestFit="1" customWidth="1"/>
    <col min="7" max="7" width="13.85546875" bestFit="1" customWidth="1"/>
    <col min="8" max="8" width="5.5703125" bestFit="1" customWidth="1"/>
    <col min="9" max="9" width="15.42578125" bestFit="1" customWidth="1"/>
    <col min="10" max="10" width="5.5703125" bestFit="1" customWidth="1"/>
    <col min="11" max="11" width="17.140625" customWidth="1"/>
    <col min="12" max="12" width="8.7109375" customWidth="1"/>
  </cols>
  <sheetData>
    <row r="3" spans="3:12" ht="51" customHeight="1" x14ac:dyDescent="0.25">
      <c r="C3" s="87" t="s">
        <v>30</v>
      </c>
      <c r="D3" s="87"/>
      <c r="E3" s="87"/>
      <c r="F3" s="87"/>
      <c r="G3" s="87"/>
      <c r="H3" s="87"/>
      <c r="I3" s="87"/>
      <c r="J3" s="87"/>
      <c r="K3" s="87"/>
      <c r="L3" s="87"/>
    </row>
    <row r="4" spans="3:12" x14ac:dyDescent="0.25">
      <c r="C4" s="88" t="s">
        <v>56</v>
      </c>
      <c r="D4" s="88"/>
      <c r="E4" s="88"/>
      <c r="F4" s="88"/>
      <c r="G4" s="88"/>
      <c r="H4" s="88"/>
      <c r="I4" s="88"/>
      <c r="J4" s="88"/>
      <c r="K4" s="88"/>
      <c r="L4" s="88"/>
    </row>
    <row r="5" spans="3:12" ht="36" customHeight="1" x14ac:dyDescent="0.25">
      <c r="C5" s="89" t="s">
        <v>57</v>
      </c>
      <c r="D5" s="90"/>
      <c r="E5" s="90"/>
      <c r="F5" s="90"/>
      <c r="G5" s="90"/>
      <c r="H5" s="90"/>
      <c r="I5" s="90"/>
      <c r="J5" s="90"/>
      <c r="K5" s="90"/>
      <c r="L5" s="91"/>
    </row>
    <row r="6" spans="3:12" x14ac:dyDescent="0.25">
      <c r="C6" s="92" t="s">
        <v>58</v>
      </c>
      <c r="D6" s="92"/>
      <c r="E6" s="92"/>
      <c r="F6" s="92"/>
      <c r="G6" s="92"/>
      <c r="H6" s="92"/>
      <c r="I6" s="92"/>
      <c r="J6" s="92"/>
      <c r="K6" s="92"/>
      <c r="L6" s="92"/>
    </row>
    <row r="7" spans="3:12" x14ac:dyDescent="0.25">
      <c r="C7" s="93" t="s">
        <v>59</v>
      </c>
      <c r="D7" s="93"/>
      <c r="E7" s="93"/>
      <c r="F7" s="93"/>
      <c r="G7" s="93"/>
      <c r="H7" s="93"/>
      <c r="I7" s="93"/>
      <c r="J7" s="93"/>
      <c r="K7" s="93"/>
      <c r="L7" s="93"/>
    </row>
    <row r="8" spans="3:12" x14ac:dyDescent="0.25">
      <c r="C8" s="54" t="s">
        <v>60</v>
      </c>
      <c r="D8" s="54" t="s">
        <v>61</v>
      </c>
      <c r="E8" s="54" t="s">
        <v>7</v>
      </c>
      <c r="F8" s="54" t="s">
        <v>62</v>
      </c>
      <c r="G8" s="54" t="s">
        <v>63</v>
      </c>
      <c r="H8" s="54" t="s">
        <v>62</v>
      </c>
      <c r="I8" s="54" t="s">
        <v>64</v>
      </c>
      <c r="J8" s="54" t="s">
        <v>62</v>
      </c>
      <c r="K8" s="54" t="s">
        <v>65</v>
      </c>
      <c r="L8" s="54" t="s">
        <v>62</v>
      </c>
    </row>
    <row r="9" spans="3:12" x14ac:dyDescent="0.25">
      <c r="C9" s="55">
        <v>1</v>
      </c>
      <c r="D9" s="56" t="s">
        <v>24</v>
      </c>
      <c r="E9" s="57">
        <f>'ORÇAMENTO GERAL'!F14</f>
        <v>1175117.3987440001</v>
      </c>
      <c r="F9" s="58">
        <f>E9*100/$E$11</f>
        <v>97.772399048805823</v>
      </c>
      <c r="G9" s="59">
        <f>E9/3</f>
        <v>391705.79958133335</v>
      </c>
      <c r="H9" s="58">
        <f>G9*100/$E$11</f>
        <v>32.59079968293527</v>
      </c>
      <c r="I9" s="59">
        <f>E9-G9</f>
        <v>783411.59916266683</v>
      </c>
      <c r="J9" s="58">
        <f>I9*100/$E$11</f>
        <v>65.181599365870554</v>
      </c>
      <c r="K9" s="59"/>
      <c r="L9" s="58"/>
    </row>
    <row r="10" spans="3:12" x14ac:dyDescent="0.25">
      <c r="C10" s="60">
        <v>2</v>
      </c>
      <c r="D10" s="61" t="s">
        <v>0</v>
      </c>
      <c r="E10" s="62">
        <f>'ORÇAMENTO GERAL'!F24</f>
        <v>26773.329290000001</v>
      </c>
      <c r="F10" s="63">
        <f>E10*100/$E$11</f>
        <v>2.2276009511941766</v>
      </c>
      <c r="G10" s="64"/>
      <c r="H10" s="63"/>
      <c r="I10" s="64"/>
      <c r="J10" s="63"/>
      <c r="K10" s="64">
        <f>E10</f>
        <v>26773.329290000001</v>
      </c>
      <c r="L10" s="63">
        <f>K10*100/$E$11</f>
        <v>2.2276009511941766</v>
      </c>
    </row>
    <row r="11" spans="3:12" x14ac:dyDescent="0.25">
      <c r="C11" s="65"/>
      <c r="D11" s="66" t="s">
        <v>66</v>
      </c>
      <c r="E11" s="57">
        <f>SUM(E9:E10)</f>
        <v>1201890.7280340001</v>
      </c>
      <c r="F11" s="58">
        <f>E11*100/$E$11</f>
        <v>100</v>
      </c>
      <c r="G11" s="57">
        <f>SUM(G9:G10)</f>
        <v>391705.79958133335</v>
      </c>
      <c r="H11" s="58">
        <f t="shared" ref="H11:H12" si="0">G11*100/$E$11</f>
        <v>32.59079968293527</v>
      </c>
      <c r="I11" s="57">
        <f>SUM(I9:I10)</f>
        <v>783411.59916266683</v>
      </c>
      <c r="J11" s="58">
        <f>I11*100/$E$11</f>
        <v>65.181599365870554</v>
      </c>
      <c r="K11" s="57">
        <f>SUM(K9:K10)</f>
        <v>26773.329290000001</v>
      </c>
      <c r="L11" s="58">
        <f>K11*100/$E$11</f>
        <v>2.2276009511941766</v>
      </c>
    </row>
    <row r="12" spans="3:12" x14ac:dyDescent="0.25">
      <c r="C12" s="86" t="s">
        <v>67</v>
      </c>
      <c r="D12" s="86"/>
      <c r="E12" s="86"/>
      <c r="F12" s="86"/>
      <c r="G12" s="67">
        <f>G11</f>
        <v>391705.79958133335</v>
      </c>
      <c r="H12" s="63">
        <f t="shared" si="0"/>
        <v>32.59079968293527</v>
      </c>
      <c r="I12" s="67">
        <f>G11+I11</f>
        <v>1175117.3987440001</v>
      </c>
      <c r="J12" s="63">
        <f>I12*100/$E$11</f>
        <v>97.772399048805823</v>
      </c>
      <c r="K12" s="67">
        <f>I12+K11</f>
        <v>1201890.7280340001</v>
      </c>
      <c r="L12" s="63">
        <f>K12*100/$E$11</f>
        <v>100</v>
      </c>
    </row>
  </sheetData>
  <mergeCells count="6">
    <mergeCell ref="C12:F12"/>
    <mergeCell ref="C3:L3"/>
    <mergeCell ref="C4:L4"/>
    <mergeCell ref="C5:L5"/>
    <mergeCell ref="C6:L6"/>
    <mergeCell ref="C7:L7"/>
  </mergeCells>
  <conditionalFormatting sqref="L10">
    <cfRule type="expression" dxfId="35" priority="1" stopIfTrue="1">
      <formula>#REF!=1</formula>
    </cfRule>
    <cfRule type="expression" dxfId="34" priority="2" stopIfTrue="1">
      <formula>OR(#REF!=0,#REF!=2,#REF!=3,#REF!=4)</formula>
    </cfRule>
  </conditionalFormatting>
  <conditionalFormatting sqref="D11 C9:D9">
    <cfRule type="expression" dxfId="33" priority="29" stopIfTrue="1">
      <formula>#REF!=1</formula>
    </cfRule>
    <cfRule type="expression" dxfId="32" priority="30" stopIfTrue="1">
      <formula>OR(#REF!=0,#REF!=2,#REF!=3,#REF!=4)</formula>
    </cfRule>
  </conditionalFormatting>
  <conditionalFormatting sqref="E9:F9 F11">
    <cfRule type="expression" dxfId="31" priority="31" stopIfTrue="1">
      <formula>#REF!=1</formula>
    </cfRule>
    <cfRule type="expression" dxfId="30" priority="32" stopIfTrue="1">
      <formula>OR(#REF!=0,#REF!=2,#REF!=3,#REF!=4)</formula>
    </cfRule>
  </conditionalFormatting>
  <conditionalFormatting sqref="G9">
    <cfRule type="expression" dxfId="29" priority="27" stopIfTrue="1">
      <formula>#REF!=1</formula>
    </cfRule>
    <cfRule type="expression" dxfId="28" priority="28" stopIfTrue="1">
      <formula>OR(#REF!=0,#REF!=2,#REF!=3,#REF!=4)</formula>
    </cfRule>
  </conditionalFormatting>
  <conditionalFormatting sqref="I9">
    <cfRule type="expression" dxfId="27" priority="25" stopIfTrue="1">
      <formula>#REF!=1</formula>
    </cfRule>
    <cfRule type="expression" dxfId="26" priority="26" stopIfTrue="1">
      <formula>OR(#REF!=0,#REF!=2,#REF!=3,#REF!=4)</formula>
    </cfRule>
  </conditionalFormatting>
  <conditionalFormatting sqref="K9">
    <cfRule type="expression" dxfId="25" priority="23" stopIfTrue="1">
      <formula>#REF!=1</formula>
    </cfRule>
    <cfRule type="expression" dxfId="24" priority="24" stopIfTrue="1">
      <formula>OR(#REF!=0,#REF!=2,#REF!=3,#REF!=4)</formula>
    </cfRule>
  </conditionalFormatting>
  <conditionalFormatting sqref="H9 H11:H12">
    <cfRule type="expression" dxfId="23" priority="21" stopIfTrue="1">
      <formula>#REF!=1</formula>
    </cfRule>
    <cfRule type="expression" dxfId="22" priority="22" stopIfTrue="1">
      <formula>OR(#REF!=0,#REF!=2,#REF!=3,#REF!=4)</formula>
    </cfRule>
  </conditionalFormatting>
  <conditionalFormatting sqref="J9 J11:J12">
    <cfRule type="expression" dxfId="21" priority="19" stopIfTrue="1">
      <formula>#REF!=1</formula>
    </cfRule>
    <cfRule type="expression" dxfId="20" priority="20" stopIfTrue="1">
      <formula>OR(#REF!=0,#REF!=2,#REF!=3,#REF!=4)</formula>
    </cfRule>
  </conditionalFormatting>
  <conditionalFormatting sqref="L9 L11:L12">
    <cfRule type="expression" dxfId="19" priority="17" stopIfTrue="1">
      <formula>#REF!=1</formula>
    </cfRule>
    <cfRule type="expression" dxfId="18" priority="18" stopIfTrue="1">
      <formula>OR(#REF!=0,#REF!=2,#REF!=3,#REF!=4)</formula>
    </cfRule>
  </conditionalFormatting>
  <conditionalFormatting sqref="C10:D10">
    <cfRule type="expression" dxfId="17" priority="13" stopIfTrue="1">
      <formula>#REF!=1</formula>
    </cfRule>
    <cfRule type="expression" dxfId="16" priority="14" stopIfTrue="1">
      <formula>OR(#REF!=0,#REF!=2,#REF!=3,#REF!=4)</formula>
    </cfRule>
  </conditionalFormatting>
  <conditionalFormatting sqref="E10:F10">
    <cfRule type="expression" dxfId="15" priority="15" stopIfTrue="1">
      <formula>#REF!=1</formula>
    </cfRule>
    <cfRule type="expression" dxfId="14" priority="16" stopIfTrue="1">
      <formula>OR(#REF!=0,#REF!=2,#REF!=3,#REF!=4)</formula>
    </cfRule>
  </conditionalFormatting>
  <conditionalFormatting sqref="G10">
    <cfRule type="expression" dxfId="13" priority="11" stopIfTrue="1">
      <formula>#REF!=1</formula>
    </cfRule>
    <cfRule type="expression" dxfId="12" priority="12" stopIfTrue="1">
      <formula>OR(#REF!=0,#REF!=2,#REF!=3,#REF!=4)</formula>
    </cfRule>
  </conditionalFormatting>
  <conditionalFormatting sqref="I10">
    <cfRule type="expression" dxfId="11" priority="9" stopIfTrue="1">
      <formula>#REF!=1</formula>
    </cfRule>
    <cfRule type="expression" dxfId="10" priority="10" stopIfTrue="1">
      <formula>OR(#REF!=0,#REF!=2,#REF!=3,#REF!=4)</formula>
    </cfRule>
  </conditionalFormatting>
  <conditionalFormatting sqref="K10">
    <cfRule type="expression" dxfId="9" priority="7" stopIfTrue="1">
      <formula>#REF!=1</formula>
    </cfRule>
    <cfRule type="expression" dxfId="8" priority="8" stopIfTrue="1">
      <formula>OR(#REF!=0,#REF!=2,#REF!=3,#REF!=4)</formula>
    </cfRule>
  </conditionalFormatting>
  <conditionalFormatting sqref="H10">
    <cfRule type="expression" dxfId="7" priority="5" stopIfTrue="1">
      <formula>#REF!=1</formula>
    </cfRule>
    <cfRule type="expression" dxfId="6" priority="6" stopIfTrue="1">
      <formula>OR(#REF!=0,#REF!=2,#REF!=3,#REF!=4)</formula>
    </cfRule>
  </conditionalFormatting>
  <conditionalFormatting sqref="J10">
    <cfRule type="expression" dxfId="5" priority="3" stopIfTrue="1">
      <formula>#REF!=1</formula>
    </cfRule>
    <cfRule type="expression" dxfId="4" priority="4" stopIfTrue="1">
      <formula>OR(#REF!=0,#REF!=2,#REF!=3,#REF!=4)</formula>
    </cfRule>
  </conditionalFormatting>
  <dataValidations disablePrompts="1" count="1">
    <dataValidation allowBlank="1" showInputMessage="1" showErrorMessage="1" prompt="A entrada de quantidades é feita na coluna AJ se acompanhamento por BM, ou na aba &quot;Memória de Cálculo/PLQ&quot; se acompanhamento por PLE." sqref="F9:F11 G9:G10 H9:H12 I9:I10 J9:J12 K9:K10 L9:L12" xr:uid="{00000000-0002-0000-0600-000000000000}"/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S33"/>
  <sheetViews>
    <sheetView workbookViewId="0">
      <selection activeCell="N7" sqref="N7"/>
    </sheetView>
  </sheetViews>
  <sheetFormatPr defaultRowHeight="15" x14ac:dyDescent="0.25"/>
  <cols>
    <col min="1" max="1" width="3.7109375" customWidth="1"/>
    <col min="2" max="2" width="9.140625" hidden="1" customWidth="1"/>
    <col min="10" max="10" width="4.85546875" bestFit="1" customWidth="1"/>
  </cols>
  <sheetData>
    <row r="3" spans="3:19" x14ac:dyDescent="0.25"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3:19" x14ac:dyDescent="0.25">
      <c r="C4" s="104" t="s">
        <v>105</v>
      </c>
      <c r="D4" s="104"/>
      <c r="E4" s="104"/>
      <c r="F4" s="104"/>
      <c r="G4" s="104"/>
      <c r="H4" s="104"/>
      <c r="I4" s="104"/>
      <c r="J4" s="104"/>
      <c r="K4" s="104"/>
      <c r="L4" s="104"/>
    </row>
    <row r="5" spans="3:19" ht="12.75" customHeight="1" x14ac:dyDescent="0.25"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3:19" ht="29.25" customHeight="1" x14ac:dyDescent="0.25">
      <c r="C6" s="106" t="s">
        <v>68</v>
      </c>
      <c r="D6" s="106"/>
      <c r="E6" s="106"/>
      <c r="F6" s="106"/>
      <c r="G6" s="106"/>
      <c r="H6" s="106"/>
      <c r="I6" s="106"/>
      <c r="J6" s="106"/>
      <c r="K6" s="107">
        <v>1</v>
      </c>
      <c r="L6" s="107"/>
    </row>
    <row r="7" spans="3:19" x14ac:dyDescent="0.25">
      <c r="C7" s="110" t="s">
        <v>69</v>
      </c>
      <c r="D7" s="110"/>
      <c r="E7" s="110"/>
      <c r="F7" s="110"/>
      <c r="G7" s="110"/>
      <c r="H7" s="110"/>
      <c r="I7" s="110"/>
      <c r="J7" s="110"/>
      <c r="K7" s="107">
        <v>0.03</v>
      </c>
      <c r="L7" s="107"/>
    </row>
    <row r="8" spans="3:19" x14ac:dyDescent="0.25"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3:19" x14ac:dyDescent="0.25"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3:19" ht="15.75" x14ac:dyDescent="0.25">
      <c r="C10" s="109" t="s">
        <v>70</v>
      </c>
      <c r="D10" s="109"/>
      <c r="E10" s="109"/>
      <c r="F10" s="109"/>
      <c r="G10" s="109"/>
      <c r="H10" s="109"/>
      <c r="I10" s="109"/>
      <c r="J10" s="109"/>
      <c r="K10" s="109"/>
      <c r="L10" s="109"/>
    </row>
    <row r="11" spans="3:19" x14ac:dyDescent="0.25"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3:19" x14ac:dyDescent="0.25">
      <c r="C12" s="108" t="s">
        <v>71</v>
      </c>
      <c r="D12" s="108"/>
      <c r="E12" s="108"/>
      <c r="F12" s="108"/>
      <c r="G12" s="108"/>
      <c r="H12" s="108"/>
      <c r="I12" s="108"/>
      <c r="J12" s="108"/>
      <c r="K12" s="108"/>
      <c r="L12" s="108"/>
    </row>
    <row r="13" spans="3:19" x14ac:dyDescent="0.25">
      <c r="C13" s="111" t="s">
        <v>72</v>
      </c>
      <c r="D13" s="111"/>
      <c r="E13" s="111"/>
      <c r="F13" s="111"/>
      <c r="G13" s="111"/>
      <c r="H13" s="111"/>
      <c r="I13" s="111"/>
      <c r="J13" s="111"/>
      <c r="K13" s="111"/>
      <c r="L13" s="111"/>
    </row>
    <row r="14" spans="3:19" x14ac:dyDescent="0.25"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3:19" x14ac:dyDescent="0.25">
      <c r="C15" s="112" t="s">
        <v>73</v>
      </c>
      <c r="D15" s="112"/>
      <c r="E15" s="112"/>
      <c r="F15" s="112"/>
      <c r="G15" s="112"/>
      <c r="H15" s="112"/>
      <c r="I15" s="112"/>
      <c r="J15" s="112"/>
      <c r="K15" s="112" t="s">
        <v>74</v>
      </c>
      <c r="L15" s="94" t="s">
        <v>75</v>
      </c>
      <c r="N15" s="94" t="s">
        <v>76</v>
      </c>
      <c r="O15" s="94"/>
      <c r="P15" s="94"/>
      <c r="Q15" s="105" t="s">
        <v>77</v>
      </c>
      <c r="R15" s="105" t="s">
        <v>78</v>
      </c>
      <c r="S15" s="105" t="s">
        <v>79</v>
      </c>
    </row>
    <row r="16" spans="3:19" x14ac:dyDescent="0.25">
      <c r="C16" s="112"/>
      <c r="D16" s="112"/>
      <c r="E16" s="112"/>
      <c r="F16" s="112"/>
      <c r="G16" s="112"/>
      <c r="H16" s="112"/>
      <c r="I16" s="112"/>
      <c r="J16" s="112"/>
      <c r="K16" s="112"/>
      <c r="L16" s="94"/>
      <c r="N16" s="94"/>
      <c r="O16" s="94"/>
      <c r="P16" s="94"/>
      <c r="Q16" s="105"/>
      <c r="R16" s="105"/>
      <c r="S16" s="105"/>
    </row>
    <row r="17" spans="3:19" x14ac:dyDescent="0.25">
      <c r="C17" s="97" t="s">
        <v>103</v>
      </c>
      <c r="D17" s="97"/>
      <c r="E17" s="97"/>
      <c r="F17" s="97"/>
      <c r="G17" s="97"/>
      <c r="H17" s="97"/>
      <c r="I17" s="97"/>
      <c r="J17" s="97"/>
      <c r="K17" s="71" t="s">
        <v>94</v>
      </c>
      <c r="L17" s="72">
        <v>0.03</v>
      </c>
      <c r="N17" s="96" t="s">
        <v>80</v>
      </c>
      <c r="O17" s="96"/>
      <c r="P17" s="96"/>
      <c r="Q17" s="73">
        <v>0.03</v>
      </c>
      <c r="R17" s="73">
        <v>0.04</v>
      </c>
      <c r="S17" s="73">
        <v>5.5E-2</v>
      </c>
    </row>
    <row r="18" spans="3:19" x14ac:dyDescent="0.25">
      <c r="C18" s="97" t="s">
        <v>95</v>
      </c>
      <c r="D18" s="97"/>
      <c r="E18" s="97"/>
      <c r="F18" s="97"/>
      <c r="G18" s="97"/>
      <c r="H18" s="97"/>
      <c r="I18" s="97"/>
      <c r="J18" s="97"/>
      <c r="K18" s="71" t="s">
        <v>96</v>
      </c>
      <c r="L18" s="72">
        <v>8.0000000000000002E-3</v>
      </c>
      <c r="N18" s="96" t="s">
        <v>80</v>
      </c>
      <c r="O18" s="96"/>
      <c r="P18" s="96"/>
      <c r="Q18" s="73">
        <v>8.0000000000000002E-3</v>
      </c>
      <c r="R18" s="73">
        <v>8.0000000000000002E-3</v>
      </c>
      <c r="S18" s="73">
        <v>0.01</v>
      </c>
    </row>
    <row r="19" spans="3:19" x14ac:dyDescent="0.25">
      <c r="C19" s="97" t="s">
        <v>97</v>
      </c>
      <c r="D19" s="97"/>
      <c r="E19" s="97"/>
      <c r="F19" s="97"/>
      <c r="G19" s="97"/>
      <c r="H19" s="97"/>
      <c r="I19" s="97"/>
      <c r="J19" s="97"/>
      <c r="K19" s="71" t="s">
        <v>98</v>
      </c>
      <c r="L19" s="72">
        <v>9.7000000000000003E-3</v>
      </c>
      <c r="N19" s="96" t="s">
        <v>80</v>
      </c>
      <c r="O19" s="96"/>
      <c r="P19" s="96"/>
      <c r="Q19" s="73">
        <v>9.7000000000000003E-3</v>
      </c>
      <c r="R19" s="73">
        <v>1.2699999999999999E-2</v>
      </c>
      <c r="S19" s="73">
        <v>1.2699999999999999E-2</v>
      </c>
    </row>
    <row r="20" spans="3:19" x14ac:dyDescent="0.25">
      <c r="C20" s="97" t="s">
        <v>99</v>
      </c>
      <c r="D20" s="97"/>
      <c r="E20" s="97"/>
      <c r="F20" s="97"/>
      <c r="G20" s="97"/>
      <c r="H20" s="97"/>
      <c r="I20" s="97"/>
      <c r="J20" s="97"/>
      <c r="K20" s="71" t="s">
        <v>100</v>
      </c>
      <c r="L20" s="72">
        <v>5.8999999999999999E-3</v>
      </c>
      <c r="N20" s="96" t="s">
        <v>80</v>
      </c>
      <c r="O20" s="96"/>
      <c r="P20" s="96"/>
      <c r="Q20" s="73">
        <v>5.8999999999999999E-3</v>
      </c>
      <c r="R20" s="73">
        <v>1.23E-2</v>
      </c>
      <c r="S20" s="73">
        <v>1.3899999999999999E-2</v>
      </c>
    </row>
    <row r="21" spans="3:19" x14ac:dyDescent="0.25">
      <c r="C21" s="97" t="s">
        <v>101</v>
      </c>
      <c r="D21" s="97"/>
      <c r="E21" s="97"/>
      <c r="F21" s="97"/>
      <c r="G21" s="97"/>
      <c r="H21" s="97"/>
      <c r="I21" s="97"/>
      <c r="J21" s="97"/>
      <c r="K21" s="71" t="s">
        <v>102</v>
      </c>
      <c r="L21" s="72">
        <v>6.6000000000000003E-2</v>
      </c>
      <c r="N21" s="96" t="s">
        <v>80</v>
      </c>
      <c r="O21" s="96"/>
      <c r="P21" s="96"/>
      <c r="Q21" s="73">
        <v>6.1600000000000002E-2</v>
      </c>
      <c r="R21" s="73">
        <v>7.3999999999999996E-2</v>
      </c>
      <c r="S21" s="73">
        <v>8.9599999999999999E-2</v>
      </c>
    </row>
    <row r="22" spans="3:19" x14ac:dyDescent="0.25">
      <c r="C22" s="97" t="s">
        <v>81</v>
      </c>
      <c r="D22" s="97"/>
      <c r="E22" s="97"/>
      <c r="F22" s="97"/>
      <c r="G22" s="97"/>
      <c r="H22" s="97"/>
      <c r="I22" s="97"/>
      <c r="J22" s="97"/>
      <c r="K22" s="71" t="s">
        <v>104</v>
      </c>
      <c r="L22" s="72">
        <v>3.6499999999999998E-2</v>
      </c>
      <c r="N22" s="96" t="s">
        <v>80</v>
      </c>
      <c r="O22" s="96"/>
      <c r="P22" s="96"/>
      <c r="Q22" s="73">
        <v>3.6499999999999998E-2</v>
      </c>
      <c r="R22" s="73">
        <v>3.6499999999999998E-2</v>
      </c>
      <c r="S22" s="73">
        <v>3.6499999999999998E-2</v>
      </c>
    </row>
    <row r="23" spans="3:19" x14ac:dyDescent="0.25">
      <c r="C23" s="97" t="s">
        <v>82</v>
      </c>
      <c r="D23" s="97"/>
      <c r="E23" s="97"/>
      <c r="F23" s="97"/>
      <c r="G23" s="97"/>
      <c r="H23" s="97"/>
      <c r="I23" s="97"/>
      <c r="J23" s="97"/>
      <c r="K23" s="71" t="s">
        <v>83</v>
      </c>
      <c r="L23" s="73">
        <v>0.03</v>
      </c>
      <c r="N23" s="96" t="s">
        <v>80</v>
      </c>
      <c r="O23" s="96"/>
      <c r="P23" s="96"/>
      <c r="Q23" s="73">
        <v>0</v>
      </c>
      <c r="R23" s="73">
        <v>2.5000000000000001E-2</v>
      </c>
      <c r="S23" s="73">
        <v>0.05</v>
      </c>
    </row>
    <row r="24" spans="3:19" x14ac:dyDescent="0.25">
      <c r="C24" s="97" t="s">
        <v>84</v>
      </c>
      <c r="D24" s="97"/>
      <c r="E24" s="97"/>
      <c r="F24" s="97"/>
      <c r="G24" s="97"/>
      <c r="H24" s="97"/>
      <c r="I24" s="97"/>
      <c r="J24" s="97"/>
      <c r="K24" s="71" t="s">
        <v>85</v>
      </c>
      <c r="L24" s="73">
        <v>4.4999999999999998E-2</v>
      </c>
      <c r="N24" s="96" t="s">
        <v>80</v>
      </c>
      <c r="O24" s="96"/>
      <c r="P24" s="96"/>
      <c r="Q24" s="74">
        <v>0</v>
      </c>
      <c r="R24" s="74">
        <v>4.4999999999999998E-2</v>
      </c>
      <c r="S24" s="74">
        <v>4.4999999999999998E-2</v>
      </c>
    </row>
    <row r="25" spans="3:19" ht="28.5" x14ac:dyDescent="0.25">
      <c r="C25" s="97" t="s">
        <v>86</v>
      </c>
      <c r="D25" s="97"/>
      <c r="E25" s="97"/>
      <c r="F25" s="97"/>
      <c r="G25" s="97"/>
      <c r="H25" s="97"/>
      <c r="I25" s="97"/>
      <c r="J25" s="97"/>
      <c r="K25" s="75" t="s">
        <v>87</v>
      </c>
      <c r="L25" s="73">
        <v>0.20349999999999999</v>
      </c>
      <c r="N25" s="94" t="str">
        <f>IF(OR($J$15=$A$129,$J$15=$A$128,AND(L25&gt;=Q25,L25&lt;=S25)),"OK","FORA DO INTERVALO")</f>
        <v>OK</v>
      </c>
      <c r="O25" s="94"/>
      <c r="P25" s="94"/>
      <c r="Q25" s="73">
        <v>0.2034</v>
      </c>
      <c r="R25" s="73">
        <v>0.22120000000000001</v>
      </c>
      <c r="S25" s="73">
        <v>0.25</v>
      </c>
    </row>
    <row r="26" spans="3:19" ht="28.5" x14ac:dyDescent="0.25">
      <c r="C26" s="95" t="s">
        <v>88</v>
      </c>
      <c r="D26" s="95"/>
      <c r="E26" s="95"/>
      <c r="F26" s="95"/>
      <c r="G26" s="95"/>
      <c r="H26" s="95"/>
      <c r="I26" s="95"/>
      <c r="J26" s="95"/>
      <c r="K26" s="76" t="s">
        <v>89</v>
      </c>
      <c r="L26" s="77">
        <f>((1+L17+L18+L19)*(1+L20)*(1+L21))/(1-L22-L23-L24)-1</f>
        <v>0.26442048889139036</v>
      </c>
    </row>
    <row r="27" spans="3:19" x14ac:dyDescent="0.25"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3:19" ht="15.75" x14ac:dyDescent="0.25">
      <c r="C28" s="78" t="str">
        <f>IF(N25&lt;&gt;"ok","X","")</f>
        <v/>
      </c>
      <c r="D28" s="102" t="str">
        <f>IF(N25&lt;&gt;"ok","Anexo: Relatório Técnico Circunstanciado justificando a adoção do percentual de cada parcela do BDI.","")</f>
        <v/>
      </c>
      <c r="E28" s="102"/>
      <c r="F28" s="102"/>
      <c r="G28" s="102"/>
      <c r="H28" s="102"/>
      <c r="I28" s="102"/>
      <c r="J28" s="102"/>
      <c r="K28" s="102"/>
      <c r="L28" s="102"/>
    </row>
    <row r="29" spans="3:19" x14ac:dyDescent="0.25"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3:19" x14ac:dyDescent="0.25">
      <c r="C30" s="103" t="s">
        <v>90</v>
      </c>
      <c r="D30" s="103"/>
      <c r="E30" s="103"/>
      <c r="F30" s="103"/>
      <c r="G30" s="103"/>
      <c r="H30" s="103"/>
      <c r="I30" s="103"/>
      <c r="J30" s="103"/>
      <c r="K30" s="103"/>
      <c r="L30" s="103"/>
    </row>
    <row r="31" spans="3:19" ht="15.75" x14ac:dyDescent="0.25">
      <c r="C31" s="79"/>
      <c r="D31" s="79"/>
      <c r="E31" s="79"/>
      <c r="F31" s="99" t="s">
        <v>91</v>
      </c>
      <c r="G31" s="98" t="str">
        <f>IF($J13=$A$129,"(1+K1+K2)*(1+K3)","(1+AC + S + R + G)*(1 + DF)*(1+L)")</f>
        <v>(1+K1+K2)*(1+K3)</v>
      </c>
      <c r="H31" s="98"/>
      <c r="I31" s="98"/>
      <c r="J31" s="100" t="s">
        <v>92</v>
      </c>
      <c r="K31" s="79"/>
      <c r="L31" s="79"/>
    </row>
    <row r="32" spans="3:19" ht="15.75" x14ac:dyDescent="0.25">
      <c r="C32" s="79"/>
      <c r="D32" s="79"/>
      <c r="E32" s="79"/>
      <c r="F32" s="99"/>
      <c r="G32" s="101" t="s">
        <v>93</v>
      </c>
      <c r="H32" s="101"/>
      <c r="I32" s="101"/>
      <c r="J32" s="100"/>
      <c r="K32" s="79"/>
      <c r="L32" s="79"/>
    </row>
    <row r="33" spans="3:12" x14ac:dyDescent="0.25">
      <c r="C33" s="80"/>
      <c r="D33" s="80"/>
      <c r="E33" s="80"/>
      <c r="F33" s="80"/>
      <c r="G33" s="80"/>
      <c r="H33" s="80"/>
      <c r="I33" s="80"/>
      <c r="J33" s="80"/>
      <c r="K33" s="80"/>
      <c r="L33" s="80"/>
    </row>
  </sheetData>
  <mergeCells count="40">
    <mergeCell ref="C4:L4"/>
    <mergeCell ref="R15:R16"/>
    <mergeCell ref="S15:S16"/>
    <mergeCell ref="C6:J6"/>
    <mergeCell ref="K6:L6"/>
    <mergeCell ref="C12:L12"/>
    <mergeCell ref="C10:L10"/>
    <mergeCell ref="Q15:Q16"/>
    <mergeCell ref="C7:J7"/>
    <mergeCell ref="K7:L7"/>
    <mergeCell ref="C13:L13"/>
    <mergeCell ref="C15:J16"/>
    <mergeCell ref="K15:K16"/>
    <mergeCell ref="L15:L16"/>
    <mergeCell ref="N15:P16"/>
    <mergeCell ref="N17:P17"/>
    <mergeCell ref="C18:J18"/>
    <mergeCell ref="N18:P18"/>
    <mergeCell ref="C19:J19"/>
    <mergeCell ref="N19:P19"/>
    <mergeCell ref="C17:J17"/>
    <mergeCell ref="G31:I31"/>
    <mergeCell ref="F31:F32"/>
    <mergeCell ref="J31:J32"/>
    <mergeCell ref="G32:I32"/>
    <mergeCell ref="C23:J23"/>
    <mergeCell ref="C24:J24"/>
    <mergeCell ref="C25:J25"/>
    <mergeCell ref="D28:L28"/>
    <mergeCell ref="C30:L30"/>
    <mergeCell ref="N25:P25"/>
    <mergeCell ref="C26:J26"/>
    <mergeCell ref="N23:P23"/>
    <mergeCell ref="N24:P24"/>
    <mergeCell ref="C20:J20"/>
    <mergeCell ref="N20:P20"/>
    <mergeCell ref="C21:J21"/>
    <mergeCell ref="N21:P21"/>
    <mergeCell ref="C22:J22"/>
    <mergeCell ref="N22:P22"/>
  </mergeCells>
  <conditionalFormatting sqref="C26:L26">
    <cfRule type="expression" dxfId="3" priority="1" stopIfTrue="1">
      <formula>DESONERACAO="não"</formula>
    </cfRule>
  </conditionalFormatting>
  <conditionalFormatting sqref="N25:P25">
    <cfRule type="expression" dxfId="2" priority="2" stopIfTrue="1">
      <formula>AND(N25&lt;&gt;"OK",N25&lt;&gt;"-",N25&lt;&gt;"")</formula>
    </cfRule>
    <cfRule type="cellIs" dxfId="1" priority="3" stopIfTrue="1" operator="equal">
      <formula>"OK"</formula>
    </cfRule>
  </conditionalFormatting>
  <conditionalFormatting sqref="L25">
    <cfRule type="expression" dxfId="0" priority="4" stopIfTrue="1">
      <formula>DESONERACAO="não"</formula>
    </cfRule>
  </conditionalFormatting>
  <dataValidations count="6">
    <dataValidation type="list" allowBlank="1" showErrorMessage="1" sqref="C13:L13" xr:uid="{00000000-0002-0000-0700-000000000000}">
      <formula1>BDI.TipoObra</formula1>
      <formula2>0</formula2>
    </dataValidation>
    <dataValidation type="decimal" allowBlank="1" showInputMessage="1" showErrorMessage="1" errorTitle="Valor não permitido" error="Digite um percentual entre 0% e 100%." promptTitle="Valores admissíveis:" prompt="Insira valores entre 0 e 100%." sqref="K6:L6" xr:uid="{00000000-0002-0000-0700-000001000000}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K7:L7" xr:uid="{00000000-0002-0000-0700-000002000000}">
      <formula1>0</formula1>
      <formula2>0</formula2>
    </dataValidation>
    <dataValidation operator="greaterThanOrEqual" allowBlank="1" showErrorMessage="1" errorTitle="Erro de valores" error="Digite um valor igual a 0% ou 2%." sqref="L24" xr:uid="{00000000-0002-0000-0700-000003000000}">
      <formula1>0</formula1>
      <formula2>0</formula2>
    </dataValidation>
    <dataValidation type="decimal" allowBlank="1" showErrorMessage="1" errorTitle="Erro de valores" error="Digite um valor maior do que 0." sqref="L23" xr:uid="{00000000-0002-0000-0700-000004000000}">
      <formula1>0</formula1>
      <formula2>1</formula2>
    </dataValidation>
    <dataValidation type="decimal" allowBlank="1" showErrorMessage="1" errorTitle="Erro de valores" error="Digite um valor entre 0% e 100%" sqref="L17:L22" xr:uid="{00000000-0002-0000-0700-000005000000}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ORÇAMENTO GERAL</vt:lpstr>
      <vt:lpstr>Julia</vt:lpstr>
      <vt:lpstr>Rosalino</vt:lpstr>
      <vt:lpstr>Eilirio</vt:lpstr>
      <vt:lpstr>São João_Getúlio</vt:lpstr>
      <vt:lpstr>Osório</vt:lpstr>
      <vt:lpstr>Cronograma</vt:lpstr>
      <vt:lpstr>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hepp</dc:creator>
  <cp:lastModifiedBy>Compras02-PC</cp:lastModifiedBy>
  <cp:lastPrinted>2021-09-23T12:29:50Z</cp:lastPrinted>
  <dcterms:created xsi:type="dcterms:W3CDTF">2020-04-06T18:38:38Z</dcterms:created>
  <dcterms:modified xsi:type="dcterms:W3CDTF">2021-09-27T13:49:51Z</dcterms:modified>
</cp:coreProperties>
</file>